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0140" windowHeight="7005" tabRatio="949" activeTab="0"/>
  </bookViews>
  <sheets>
    <sheet name="FR-CE" sheetId="1" r:id="rId1"/>
    <sheet name="CE GENERALE" sheetId="2" r:id="rId2"/>
    <sheet name="UDP" sheetId="3" r:id="rId3"/>
    <sheet name="CE-UDP" sheetId="4" state="hidden" r:id="rId4"/>
    <sheet name="TRASPORTI" sheetId="5" r:id="rId5"/>
    <sheet name="CE-TRASPORTI" sheetId="6" state="hidden" r:id="rId6"/>
    <sheet name="NIL" sheetId="7" r:id="rId7"/>
    <sheet name="CE-NIL" sheetId="8" state="hidden" r:id="rId8"/>
    <sheet name="BADANTI" sheetId="9" r:id="rId9"/>
    <sheet name="CE-MEDIAZIONE F" sheetId="10" state="hidden" r:id="rId10"/>
    <sheet name="migramondo" sheetId="11" r:id="rId11"/>
    <sheet name="CE-migramondo" sheetId="12" state="hidden" r:id="rId12"/>
    <sheet name="EQ-ADM" sheetId="13" r:id="rId13"/>
    <sheet name="CE-ADM" sheetId="14" state="hidden" r:id="rId14"/>
    <sheet name="EQ-TM" sheetId="15" r:id="rId15"/>
    <sheet name="spazio neutro" sheetId="16" r:id="rId16"/>
    <sheet name="AFFIDI" sheetId="17" r:id="rId17"/>
    <sheet name="CE-TM" sheetId="18" state="hidden" r:id="rId18"/>
    <sheet name="EQ SAD" sheetId="19" r:id="rId19"/>
    <sheet name="SERV SOCI PROF" sheetId="20" r:id="rId20"/>
    <sheet name="CE SAD" sheetId="21" state="hidden" r:id="rId21"/>
    <sheet name="INVEST" sheetId="22" r:id="rId22"/>
    <sheet name="INV LOG " sheetId="23" r:id="rId23"/>
    <sheet name="fz-amm" sheetId="24" r:id="rId24"/>
    <sheet name="ONERI CENT" sheetId="25" r:id="rId25"/>
    <sheet name="CE ONERI CENT" sheetId="26" state="hidden" r:id="rId26"/>
    <sheet name="RIPARTO" sheetId="27" r:id="rId27"/>
  </sheets>
  <externalReferences>
    <externalReference r:id="rId30"/>
    <externalReference r:id="rId31"/>
  </externalReferences>
  <definedNames>
    <definedName name="_xlnm.Print_Area" localSheetId="26">'RIPARTO'!$A$1:$BC$22</definedName>
    <definedName name="_xlnm.Print_Titles" localSheetId="26">'RIPARTO'!$A:$C</definedName>
  </definedNames>
  <calcPr fullCalcOnLoad="1"/>
</workbook>
</file>

<file path=xl/comments27.xml><?xml version="1.0" encoding="utf-8"?>
<comments xmlns="http://schemas.openxmlformats.org/spreadsheetml/2006/main">
  <authors>
    <author>g.ciceri</author>
    <author>GCiceri</author>
  </authors>
  <commentList>
    <comment ref="H4" authorId="0">
      <text>
        <r>
          <rPr>
            <b/>
            <sz val="8"/>
            <rFont val="Tahoma"/>
            <family val="2"/>
          </rPr>
          <t>g.ciceri:</t>
        </r>
        <r>
          <rPr>
            <sz val="8"/>
            <rFont val="Tahoma"/>
            <family val="2"/>
          </rPr>
          <t xml:space="preserve">
quota circ 4 anno 06</t>
        </r>
      </text>
    </comment>
    <comment ref="T8" authorId="0">
      <text>
        <r>
          <rPr>
            <b/>
            <sz val="8"/>
            <rFont val="Tahoma"/>
            <family val="2"/>
          </rPr>
          <t>g.ciceri:</t>
        </r>
        <r>
          <rPr>
            <sz val="8"/>
            <rFont val="Tahoma"/>
            <family val="2"/>
          </rPr>
          <t xml:space="preserve">
STIMA SU UTILIZZO MENSILE MAGGIO 2007</t>
        </r>
      </text>
    </comment>
    <comment ref="T12" authorId="0">
      <text>
        <r>
          <rPr>
            <b/>
            <sz val="8"/>
            <rFont val="Tahoma"/>
            <family val="2"/>
          </rPr>
          <t>g.ciceri:</t>
        </r>
        <r>
          <rPr>
            <sz val="8"/>
            <rFont val="Tahoma"/>
            <family val="2"/>
          </rPr>
          <t xml:space="preserve">
VOCE INSIME AD ADH; IMPUTATA AD ADM 75% </t>
        </r>
      </text>
    </comment>
    <comment ref="T16" authorId="0">
      <text>
        <r>
          <rPr>
            <b/>
            <sz val="8"/>
            <rFont val="Tahoma"/>
            <family val="2"/>
          </rPr>
          <t>g.ciceri:</t>
        </r>
        <r>
          <rPr>
            <sz val="8"/>
            <rFont val="Tahoma"/>
            <family val="2"/>
          </rPr>
          <t xml:space="preserve">
INSIEME AD ADH; SUDDIVISE 50% QUI E ALTRO 50% SU ADH</t>
        </r>
      </text>
    </comment>
    <comment ref="AA13" authorId="0">
      <text>
        <r>
          <rPr>
            <b/>
            <sz val="8"/>
            <rFont val="Tahoma"/>
            <family val="2"/>
          </rPr>
          <t>g.ciceri:</t>
        </r>
        <r>
          <rPr>
            <sz val="8"/>
            <rFont val="Tahoma"/>
            <family val="2"/>
          </rPr>
          <t xml:space="preserve">
per rispettare ripartizione quota solidale azzerati abitanti pregnana in colonna nascosta d 13</t>
        </r>
      </text>
    </comment>
    <comment ref="AU5" authorId="1">
      <text>
        <r>
          <rPr>
            <b/>
            <sz val="8"/>
            <rFont val="Tahoma"/>
            <family val="2"/>
          </rPr>
          <t>GCiceri:</t>
        </r>
        <r>
          <rPr>
            <sz val="8"/>
            <rFont val="Tahoma"/>
            <family val="2"/>
          </rPr>
          <t xml:space="preserve">
quota fnps + interessi attivi non previsiti a budget
</t>
        </r>
      </text>
    </comment>
  </commentList>
</comments>
</file>

<file path=xl/sharedStrings.xml><?xml version="1.0" encoding="utf-8"?>
<sst xmlns="http://schemas.openxmlformats.org/spreadsheetml/2006/main" count="710" uniqueCount="292">
  <si>
    <t>TOTALE</t>
  </si>
  <si>
    <t>COORDINATORE</t>
  </si>
  <si>
    <t>EDUCATORI</t>
  </si>
  <si>
    <t>SUPERVISORE</t>
  </si>
  <si>
    <t>COSTI DEL PERSONALE E COSTI DI GESTIONE</t>
  </si>
  <si>
    <t>Subtotale</t>
  </si>
  <si>
    <t>Totale costi</t>
  </si>
  <si>
    <t>CESPITE</t>
  </si>
  <si>
    <t>ARREDI</t>
  </si>
  <si>
    <t>VARIE</t>
  </si>
  <si>
    <t>%</t>
  </si>
  <si>
    <t>Ricavi d'esercizio</t>
  </si>
  <si>
    <t>Quote di utilizzo</t>
  </si>
  <si>
    <t>Da Comuni associati</t>
  </si>
  <si>
    <t>Altri ricavi</t>
  </si>
  <si>
    <t>Sponsorizzazioni</t>
  </si>
  <si>
    <t>Totale ricavi</t>
  </si>
  <si>
    <t>Contributi da altri enti</t>
  </si>
  <si>
    <t>Costi d'esercizio</t>
  </si>
  <si>
    <t>Personale</t>
  </si>
  <si>
    <t>Margine di contribuzione</t>
  </si>
  <si>
    <t>Da altri Comuni non associati</t>
  </si>
  <si>
    <t>Altre consulenze (legale, organizzativa, ecc.)</t>
  </si>
  <si>
    <t>Oneri delle strutture centrali dell'azienda</t>
  </si>
  <si>
    <t>Ammortamenti</t>
  </si>
  <si>
    <t>Oneri vari</t>
  </si>
  <si>
    <t>COSTI DELLE STRUTTURE CENTRALI DELL'AZIENDA
PERSONALE E ACQUISTO DI SERVIZI</t>
  </si>
  <si>
    <t>Assicurazioni</t>
  </si>
  <si>
    <t>Spese di cancelleria</t>
  </si>
  <si>
    <t>PERSONALE</t>
  </si>
  <si>
    <t>COSTO</t>
  </si>
  <si>
    <t>UTENZE (ENEL + RISC)</t>
  </si>
  <si>
    <t>AUTOMEZZI</t>
  </si>
  <si>
    <t>GESTIONE AUTO</t>
  </si>
  <si>
    <t>MANUTENZIONI UFFICI</t>
  </si>
  <si>
    <t>ASSICURAZIONI</t>
  </si>
  <si>
    <t>ATTREZZATURE D'UFFICIO</t>
  </si>
  <si>
    <t>Cumulativo costi dei Comuni</t>
  </si>
  <si>
    <t>Consumi, acquisti e logistica</t>
  </si>
  <si>
    <t>Slide che spiega che è una scelta politica da inserire nella progr. 328</t>
  </si>
  <si>
    <t>Sul consultorio fare slide spiegando che qs è l'assetto a regime; nel periodo finestra si può fare accordo con ASL</t>
  </si>
  <si>
    <t>Personale TM</t>
  </si>
  <si>
    <t>ASSISTENTI SOCIALI</t>
  </si>
  <si>
    <t>N.</t>
  </si>
  <si>
    <t>ADDETTI AMMINISTRATIVI</t>
  </si>
  <si>
    <t>CONSULENTE LEGALE</t>
  </si>
  <si>
    <t>COSTI DI ESERCIZIO</t>
  </si>
  <si>
    <t>ATTREZZATURE VARIE</t>
  </si>
  <si>
    <t>Standard x postazione</t>
  </si>
  <si>
    <t>Quota amm.to</t>
  </si>
  <si>
    <t>4 COPIAT + 4 FA X</t>
  </si>
  <si>
    <t>UTILITARIE</t>
  </si>
  <si>
    <t>TELEFONICHE</t>
  </si>
  <si>
    <t>SERVIZI  AMMINISTRATIVI DA TERZI</t>
  </si>
  <si>
    <t>Utenze (telefoniche, riscaldamento, acqua)</t>
  </si>
  <si>
    <t>CANCELLERIA</t>
  </si>
  <si>
    <t>Manutenzione e gestione automezzi</t>
  </si>
  <si>
    <t>PULIZIA UFFICI</t>
  </si>
  <si>
    <t>Manutenzione ordinarie uffici e attrezzature</t>
  </si>
  <si>
    <t>Servizi di pulizia uffici</t>
  </si>
  <si>
    <t>GESTIONE STRUTTURA CENTRALE DELL'AZIENDA</t>
  </si>
  <si>
    <t xml:space="preserve">TOTALE </t>
  </si>
  <si>
    <t>DISTINTA INVESTIMENTI E STIMA DEI RELATIVI ONERI DI AMMORTAMENTO</t>
  </si>
  <si>
    <t xml:space="preserve">Paghe e contributi </t>
  </si>
  <si>
    <t>PESO DEGLI ONERI INDIRETTI (COSTI DI STRUTTURA)</t>
  </si>
  <si>
    <t>Totale Psicologi</t>
  </si>
  <si>
    <t>Logistica e costi di esercizio</t>
  </si>
  <si>
    <t xml:space="preserve">Oneri gestione del servizio TUTELA MINORI </t>
  </si>
  <si>
    <t>Oneri gestione del servizio ASSISTENZA DOMICILIARE MINORI</t>
  </si>
  <si>
    <t xml:space="preserve">Oneri gestione del servizio INSERIMENTI LAVORATIVI </t>
  </si>
  <si>
    <t>FABBISOGNO ATTIVITA' AMMINISTRATIVE
(ESCLUSI ADDETTI IMPUTATI ALLE U.O.)</t>
  </si>
  <si>
    <t>COMUNE</t>
  </si>
  <si>
    <t>POP</t>
  </si>
  <si>
    <t xml:space="preserve">% </t>
  </si>
  <si>
    <t>UT</t>
  </si>
  <si>
    <t>Consumo</t>
  </si>
  <si>
    <t>Quota 
solidale</t>
  </si>
  <si>
    <t>Quota
solidale</t>
  </si>
  <si>
    <t>N.UT</t>
  </si>
  <si>
    <t>GIORNATE</t>
  </si>
  <si>
    <t>COSTI GENERALI
NETTI</t>
  </si>
  <si>
    <t>Quota
popolazione</t>
  </si>
  <si>
    <t>Revisore dei conti</t>
  </si>
  <si>
    <t>Contrib.
comunale per i servizi</t>
  </si>
  <si>
    <t>Quota in base alla quota % di contributo (utenti)</t>
  </si>
  <si>
    <t xml:space="preserve">PSICOLOGI </t>
  </si>
  <si>
    <t>OPERATORE RETE AZIENDE</t>
  </si>
  <si>
    <t>UFFICIO DI PIANO</t>
  </si>
  <si>
    <t>RESPONSABILE</t>
  </si>
  <si>
    <t>COLL. AMMINISTRATIVA</t>
  </si>
  <si>
    <t>CONSULENTI PROGETTISTI</t>
  </si>
  <si>
    <t>Contributi FSR</t>
  </si>
  <si>
    <t>Contributi FNPS (legge 328)</t>
  </si>
  <si>
    <t>quote solidali</t>
  </si>
  <si>
    <t>Quote a carico utenza</t>
  </si>
  <si>
    <t>personale affidi</t>
  </si>
  <si>
    <t>TOTALE SERVIZIO</t>
  </si>
  <si>
    <t>totale collocamenti comunità</t>
  </si>
  <si>
    <t>totale quote affidi</t>
  </si>
  <si>
    <t>Contributi FSR comunità</t>
  </si>
  <si>
    <t>contributi FSR affidi</t>
  </si>
  <si>
    <t>NUCLEO AFFIDI</t>
  </si>
  <si>
    <t>SPORTELLO STRANIERI</t>
  </si>
  <si>
    <t>COLLOCAMENTO IN AFFIDO</t>
  </si>
  <si>
    <t>SERVIZIO DI ASSISTENZA DOMICILIARE MINORI</t>
  </si>
  <si>
    <t>controllo gestione - contabilità analitica</t>
  </si>
  <si>
    <t>ATTREZZATURA INFORMATICA  (compreso software)</t>
  </si>
  <si>
    <t>QUOTA LORDA DA RIPARTIRE</t>
  </si>
  <si>
    <t>QUOTA NETTA DA RIPARTIRE</t>
  </si>
  <si>
    <t>Oneri gestione SPORTELLO STRANIERI</t>
  </si>
  <si>
    <t xml:space="preserve">Da altri Enti </t>
  </si>
  <si>
    <t>Contriibuti Provincia</t>
  </si>
  <si>
    <t>Contributi FNPS affidi</t>
  </si>
  <si>
    <t>VOUCHER</t>
  </si>
  <si>
    <t>Direzione generale (Contratto di diritto privato full time)</t>
  </si>
  <si>
    <t>COORDINATORE (ass. soc.)</t>
  </si>
  <si>
    <t xml:space="preserve">Contributi FSR </t>
  </si>
  <si>
    <t>Contributi FNPS (voucher)</t>
  </si>
  <si>
    <t>Voucher</t>
  </si>
  <si>
    <t xml:space="preserve">Personale </t>
  </si>
  <si>
    <t>rimborsi km</t>
  </si>
  <si>
    <t>Oneri Gestione SAD (compreso voucher)</t>
  </si>
  <si>
    <t xml:space="preserve">Contributi FNPS </t>
  </si>
  <si>
    <t>oneri centrali</t>
  </si>
  <si>
    <t>CONTO ECONOMICO SINTETICO
ONERI CENTRALI 2007</t>
  </si>
  <si>
    <t>SAD</t>
  </si>
  <si>
    <t>TOTALE COSTI</t>
  </si>
  <si>
    <t>COLLOCAMENTI COMUNITA'</t>
  </si>
  <si>
    <t>arese</t>
  </si>
  <si>
    <t>cornaredo</t>
  </si>
  <si>
    <t>lainate</t>
  </si>
  <si>
    <t>pero</t>
  </si>
  <si>
    <t>pogliano</t>
  </si>
  <si>
    <t>pregnana</t>
  </si>
  <si>
    <t>rho</t>
  </si>
  <si>
    <t>settimo</t>
  </si>
  <si>
    <t>vanzago</t>
  </si>
  <si>
    <t>AMMINISTRATIVO</t>
  </si>
  <si>
    <t xml:space="preserve">Logistica </t>
  </si>
  <si>
    <t>Contributi FNPS Spazio Neutro</t>
  </si>
  <si>
    <t>personale Spazio Neutro</t>
  </si>
  <si>
    <t>Contriibuti Provincia nucleo affidi</t>
  </si>
  <si>
    <t>Contriibuti Provinciaspazio neutro</t>
  </si>
  <si>
    <t xml:space="preserve">COORDINATORE </t>
  </si>
  <si>
    <t>SPAZIO NEUTRO</t>
  </si>
  <si>
    <t>VALORIZZAZIONE CONTRATTI</t>
  </si>
  <si>
    <t>TRASPORTI</t>
  </si>
  <si>
    <t>Volumi di attività</t>
  </si>
  <si>
    <t>RICAVI DA TERZI (fsr, fnps provicia)</t>
  </si>
  <si>
    <t xml:space="preserve">N. 2 AUTO UTILITARIE </t>
  </si>
  <si>
    <t>PSICOLOGI</t>
  </si>
  <si>
    <t>ASSITENTI SOCIALI</t>
  </si>
  <si>
    <t>OPERATORI</t>
  </si>
  <si>
    <t>TRASPORTO DISABILI</t>
  </si>
  <si>
    <t>NUCLEO INSERIMENTI LAVORATIVI</t>
  </si>
  <si>
    <t>strumenti mediazione</t>
  </si>
  <si>
    <t>Oneri gestione TRASPORTO DISABILI</t>
  </si>
  <si>
    <t>Oneri gestione MEDIAZIONE FAMILIARE</t>
  </si>
  <si>
    <t>Consiglieri CDA (4 consiglieri)</t>
  </si>
  <si>
    <t>mesi</t>
  </si>
  <si>
    <t>Altre consulenze (legale, organizzativa, CED ecc.)</t>
  </si>
  <si>
    <t>Consulenza redazione piano sicurezza (626) e medico lav.</t>
  </si>
  <si>
    <t>LOCAZIONE UFFICI</t>
  </si>
  <si>
    <t>TICKET MENSA DIPENDENTI</t>
  </si>
  <si>
    <t>Ticket mensa dipendenti</t>
  </si>
  <si>
    <t>Consulenza 626 e medico lavoro</t>
  </si>
  <si>
    <t>CONTO ECONOMICO SINTETICO
UFFICIO GESTIONE DI PIANO 2008</t>
  </si>
  <si>
    <t>ANNO 2008</t>
  </si>
  <si>
    <t>CONTO ECONOMICO SINTETICO
SERVIZIO TRASPORTO DISABILI 2008</t>
  </si>
  <si>
    <t>CONTO ECONOMICO SINTETICO
NUCLEO INSERIMENTI LAVORATIVI 2008</t>
  </si>
  <si>
    <t>CONTO ECONOMICO SINTETICO
SPORTELLO STRANIERI 2008</t>
  </si>
  <si>
    <t>CONTO ECONOMICO SINTETICO
SERVIZIO ASSISTENZA DOMICILIARE EDUCATIVA 2008</t>
  </si>
  <si>
    <t>CONTO ECONOMICO SINTETICO
SERVIZIO FAMIGLIA E MINORI 2008</t>
  </si>
  <si>
    <t>CONTO ECONOMICO SINTETICO
SERVIZIO ASSISTENZA DOMICILIARE ANZIANI E DISABILI 2008</t>
  </si>
  <si>
    <t>consulenza gestione CED</t>
  </si>
  <si>
    <t>Paghe e contributi (servizio affidato ad uno dei Comuni soci)</t>
  </si>
  <si>
    <t>CONTO ECONOMICO SINTETICO
MEDIAZONE FAMILIARE 2008</t>
  </si>
  <si>
    <t>PSICOLOGI presa in carico</t>
  </si>
  <si>
    <t>COORDINATORE psicologo</t>
  </si>
  <si>
    <t>SEGRETERIA consorzio</t>
  </si>
  <si>
    <t>Bilancio e consulenza fiscale (servizio affidato a Studio specializzato)</t>
  </si>
  <si>
    <t>Bilancio e consulenza fiscale (compreso software)</t>
  </si>
  <si>
    <t>EQUIPE TUTELA MINORI</t>
  </si>
  <si>
    <t>ore servizio</t>
  </si>
  <si>
    <t>n. ore</t>
  </si>
  <si>
    <t>Strumenti - Assegno di cura</t>
  </si>
  <si>
    <t>Strumenti - Leggi di settore</t>
  </si>
  <si>
    <t>Contributi FNPS (UGdP)</t>
  </si>
  <si>
    <t>Contributi FNPS (leggi sett.,ass. cura)</t>
  </si>
  <si>
    <t>Oneri gestione UFFICIO DI PIANO (compresi strumenti)</t>
  </si>
  <si>
    <t>Locazione uffici</t>
  </si>
  <si>
    <t>CONS. LEGALE E MEDIAZIONE</t>
  </si>
  <si>
    <t>Presidente CDA</t>
  </si>
  <si>
    <t>SERVIZI INTERAMENTE FINANZIATI CON FNPS O FP</t>
  </si>
  <si>
    <t>SERVIZI INTERAMENTE FINANZIATI CON FSR</t>
  </si>
  <si>
    <t>Contributo FNPS equipe tutela</t>
  </si>
  <si>
    <t xml:space="preserve">leggi di settore </t>
  </si>
  <si>
    <t>assegno di cura</t>
  </si>
  <si>
    <t>locazioni</t>
  </si>
  <si>
    <t>FORMAZIONE</t>
  </si>
  <si>
    <t>TOTALE PERSONALE</t>
  </si>
  <si>
    <t>Contriibuti Provincia (EMERGO)</t>
  </si>
  <si>
    <t>fondo sostituzione personale</t>
  </si>
  <si>
    <t>PC + LICENZE</t>
  </si>
  <si>
    <t xml:space="preserve">SERVER </t>
  </si>
  <si>
    <t>SCANNER</t>
  </si>
  <si>
    <t>COORDINATORE SERVIZIO</t>
  </si>
  <si>
    <t>RESPONSABILE AREA</t>
  </si>
  <si>
    <t>DELTA</t>
  </si>
  <si>
    <t>strumenti di mediazione</t>
  </si>
  <si>
    <t xml:space="preserve">collocamenti in comunità </t>
  </si>
  <si>
    <t>collocamenti in affido</t>
  </si>
  <si>
    <t>preconsuntivo 08</t>
  </si>
  <si>
    <t>ASA (appalto + dipendenti)</t>
  </si>
  <si>
    <t>delta</t>
  </si>
  <si>
    <t xml:space="preserve">SERVIZIO SOCIALE PROFESSIONALE </t>
  </si>
  <si>
    <t>SERVIZIO SOCIALE PROFESSIONALE</t>
  </si>
  <si>
    <t>Servizio sociale professionale</t>
  </si>
  <si>
    <t xml:space="preserve">preconsuntivo </t>
  </si>
  <si>
    <t>previsione al 31 .12.08</t>
  </si>
  <si>
    <t xml:space="preserve">SERVIZIO AFFIDI </t>
  </si>
  <si>
    <t xml:space="preserve">SERVIZIO ASSISTENZA DOMICILIARE ANZIANI E DISABILI                                           
</t>
  </si>
  <si>
    <t>Logistica e costi di esercizio*</t>
  </si>
  <si>
    <t>TOTALE PROCONSUNTIVO PROIETTATO AL 31.12.08</t>
  </si>
  <si>
    <t>RICAVI</t>
  </si>
  <si>
    <t>DA COMUNI</t>
  </si>
  <si>
    <t>DA FNPS, FSR, FP</t>
  </si>
  <si>
    <t/>
  </si>
  <si>
    <t>DA CIRCOLARE 4</t>
  </si>
  <si>
    <t>DAS FNPS</t>
  </si>
  <si>
    <t>da fsr effettivo</t>
  </si>
  <si>
    <t>tutela</t>
  </si>
  <si>
    <t>sad</t>
  </si>
  <si>
    <t>adm</t>
  </si>
  <si>
    <t>nil</t>
  </si>
  <si>
    <t>preconsuntivo</t>
  </si>
  <si>
    <t>fsr totale</t>
  </si>
  <si>
    <t>con fsr reale</t>
  </si>
  <si>
    <t>COSTO DELL'EQUIPE - 2009</t>
  </si>
  <si>
    <t>PREVENTIVO 2009</t>
  </si>
  <si>
    <t>STATO AVNAZAMENTO BUDGET 2009</t>
  </si>
  <si>
    <t>COORDINAMENTO</t>
  </si>
  <si>
    <t>OPERATORI SERVIZIO</t>
  </si>
  <si>
    <t>MEDIAZIONE FAMILIARE</t>
  </si>
  <si>
    <t>TUTELA MINORI
EQUIPE DISTRETTUALE</t>
  </si>
  <si>
    <t xml:space="preserve">NUCLEO INSERIMENTI LAVORATIVI
EQUIPE DISTRETTUALE </t>
  </si>
  <si>
    <t>SPORTELLO STRANIERI
EQUIPE DISTRETTUALE</t>
  </si>
  <si>
    <t>SERVIZIO ASSISTENZA DOMICILIARE EDUCATIVA
EQUIPE DISTRETTUALE</t>
  </si>
  <si>
    <t>COMUNICAZIONE</t>
  </si>
  <si>
    <t>SPESE VARIE</t>
  </si>
  <si>
    <t>Comunicazione</t>
  </si>
  <si>
    <t>SPORTELLO BADANTI 
EQUIPE DISTRETTUALE</t>
  </si>
  <si>
    <t>SPORTELLO BADANTI</t>
  </si>
  <si>
    <t>QUOTA ESERCIZIO 2009</t>
  </si>
  <si>
    <t>coordinamento psicopoedagogico</t>
  </si>
  <si>
    <t>CANONI VARI (fotocopiatrice software)</t>
  </si>
  <si>
    <t>aggiunto rispetto al budget</t>
  </si>
  <si>
    <t xml:space="preserve">Personale amministrativo (1 addetto) </t>
  </si>
  <si>
    <t>mesi B.L.</t>
  </si>
  <si>
    <t>BUDGET 2009</t>
  </si>
  <si>
    <t>convenzione - 20% di alessandri ora tutta su trasporti</t>
  </si>
  <si>
    <t>ore settimo aggiuntive per pasti 360</t>
  </si>
  <si>
    <t>ass. sociale Pogliano</t>
  </si>
  <si>
    <t>ass. sociale Arese</t>
  </si>
  <si>
    <t>gianna e mariela</t>
  </si>
  <si>
    <t>mesi borse lavoro</t>
  </si>
  <si>
    <t>compreso pasti caldi da luglio 09</t>
  </si>
  <si>
    <t>previsione iniziale</t>
  </si>
  <si>
    <t xml:space="preserve">CONTO ECONOMICO GENERALE
STATO DI AVANZIAMENTO BUDGET - APRILE 2009 </t>
  </si>
  <si>
    <t>COSTO SERVIZI - 2009</t>
  </si>
  <si>
    <t>COSTO DEL SERVIZIO - 2009</t>
  </si>
  <si>
    <t>SPESE DI INVESTIMENTO
ANNO 2009</t>
  </si>
  <si>
    <t>SCOSTAMENTO BUGET - PRECONSUNTIVO PER SINGOLO SERVIZIO</t>
  </si>
  <si>
    <t>ed. Cornaredo</t>
  </si>
  <si>
    <r>
      <t>STATO DI AVANZAMENTO BUDGET</t>
    </r>
    <r>
      <rPr>
        <b/>
        <sz val="20"/>
        <rFont val="Arial"/>
        <family val="2"/>
      </rPr>
      <t xml:space="preserve">
SETTEMBRE 2009                                             </t>
    </r>
  </si>
  <si>
    <r>
      <t xml:space="preserve">alessandri  da 80% preventivo a 100% </t>
    </r>
    <r>
      <rPr>
        <sz val="10"/>
        <color indexed="13"/>
        <rFont val="Arial"/>
        <family val="2"/>
      </rPr>
      <t>non aggiornato ad agosto, valore di aprile</t>
    </r>
  </si>
  <si>
    <t>ass. soc Rho</t>
  </si>
  <si>
    <t>ass. soc. Settimo</t>
  </si>
  <si>
    <t>dal 1 gen 09 a 30 ore</t>
  </si>
  <si>
    <t>dal 15 maggio 2009 a 36 ore</t>
  </si>
  <si>
    <t>dal 1 sett 09 a 36 ore</t>
  </si>
  <si>
    <t>dal 1 sett 09 a 18 ore sett</t>
  </si>
  <si>
    <t>ass. soc. servizio sociale professionale</t>
  </si>
  <si>
    <t>ATTENZIONE  RIDURRE QUALCOSA</t>
  </si>
  <si>
    <t xml:space="preserve">* posta, </t>
  </si>
  <si>
    <t>costi esercizio e materiali</t>
  </si>
  <si>
    <t>costi esercizio</t>
  </si>
  <si>
    <t>Interessi attivi/passivi e spese bancarie</t>
  </si>
  <si>
    <t>costo lordo equipe tutela per utente</t>
  </si>
  <si>
    <t>costo netto equipe tutela per utente</t>
  </si>
  <si>
    <t>costo netto collocaenti per utente</t>
  </si>
  <si>
    <t>costo lordo collocamenti per utente</t>
  </si>
</sst>
</file>

<file path=xl/styles.xml><?xml version="1.0" encoding="utf-8"?>
<styleSheet xmlns="http://schemas.openxmlformats.org/spreadsheetml/2006/main">
  <numFmts count="6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%"/>
    <numFmt numFmtId="173" formatCode="_-* #,##0.0_-;\-* #,##0.0_-;_-* &quot;-&quot;??_-;_-@_-"/>
    <numFmt numFmtId="174" formatCode="_-* #,##0_-;\-* #,##0_-;_-* &quot;-&quot;??_-;_-@_-"/>
    <numFmt numFmtId="175" formatCode="0.0"/>
    <numFmt numFmtId="176" formatCode="#,##0.00_ ;\-#,##0.00\ "/>
    <numFmt numFmtId="177" formatCode="0.000000"/>
    <numFmt numFmtId="178" formatCode="0.0000000"/>
    <numFmt numFmtId="179" formatCode="0.00000"/>
    <numFmt numFmtId="180" formatCode="0.0000"/>
    <numFmt numFmtId="181" formatCode="0.000"/>
    <numFmt numFmtId="182" formatCode="_-[$€-2]\ * #,##0.00_-;\-[$€-2]\ * #,##0.00_-;_-[$€-2]\ * &quot;-&quot;??_-;_-@_-"/>
    <numFmt numFmtId="183" formatCode="_-[$€]\ * #,##0.00_-;\-[$€]\ * #,##0.00_-;_-[$€]\ * &quot;-&quot;??_-;_-@_-"/>
    <numFmt numFmtId="184" formatCode="[$€-2]\ #,##0.00"/>
    <numFmt numFmtId="185" formatCode="#,##0.0"/>
    <numFmt numFmtId="186" formatCode="0.000000000"/>
    <numFmt numFmtId="187" formatCode="0.00000000"/>
    <numFmt numFmtId="188" formatCode="_-* #,##0.000_-;\-* #,##0.000_-;_-* &quot;-&quot;??_-;_-@_-"/>
    <numFmt numFmtId="189" formatCode="_-* #,##0.0000_-;\-* #,##0.0000_-;_-* &quot;-&quot;??_-;_-@_-"/>
    <numFmt numFmtId="190" formatCode="0.000%"/>
    <numFmt numFmtId="191" formatCode="_-* #,##0.0_-;\-* #,##0.0_-;_-* &quot;-&quot;?_-;_-@_-"/>
    <numFmt numFmtId="192" formatCode="_-* #,##0.00_-;\-* #,##0.00_-;_-* &quot;-&quot;?_-;_-@_-"/>
    <numFmt numFmtId="193" formatCode="d/m/yy"/>
    <numFmt numFmtId="194" formatCode="_-* #,##0_-;\-* #,##0_-;_-* &quot;-&quot;?_-;_-@_-"/>
    <numFmt numFmtId="195" formatCode="_-* #,##0.000_-;\-* #,##0.000_-;_-* &quot;-&quot;_-;_-@_-"/>
    <numFmt numFmtId="196" formatCode="_-* #,##0.0000_-;\-* #,##0.0000_-;_-* &quot;-&quot;_-;_-@_-"/>
    <numFmt numFmtId="197" formatCode="#,##0_ ;\-#,##0\ "/>
    <numFmt numFmtId="198" formatCode="0.0000000000"/>
    <numFmt numFmtId="199" formatCode="0.00000000000"/>
    <numFmt numFmtId="200" formatCode="_-* #,##0.00000_-;\-* #,##0.00000_-;_-* &quot;-&quot;_-;_-@_-"/>
    <numFmt numFmtId="201" formatCode="#,##0.000_ ;\-#,##0.000\ "/>
    <numFmt numFmtId="202" formatCode="#,##0.0000_ ;\-#,##0.0000\ "/>
    <numFmt numFmtId="203" formatCode="#,##0.00000_ ;\-#,##0.00000\ "/>
    <numFmt numFmtId="204" formatCode="#,##0.0_ ;\-#,##0.0\ "/>
    <numFmt numFmtId="205" formatCode="&quot;Sì&quot;;&quot;Sì&quot;;&quot;No&quot;"/>
    <numFmt numFmtId="206" formatCode="&quot;Vero&quot;;&quot;Vero&quot;;&quot;Falso&quot;"/>
    <numFmt numFmtId="207" formatCode="&quot;Attivo&quot;;&quot;Attivo&quot;;&quot;Disattivo&quot;"/>
    <numFmt numFmtId="208" formatCode="[$€-2]\ #.##000_);[Red]\([$€-2]\ #.##000\)"/>
    <numFmt numFmtId="209" formatCode="#,##0.000"/>
    <numFmt numFmtId="210" formatCode="#,##0.0000"/>
    <numFmt numFmtId="211" formatCode="#,##0.00000"/>
    <numFmt numFmtId="212" formatCode="_-* #,##0.00000_-;\-* #,##0.00000_-;_-* &quot;-&quot;??_-;_-@_-"/>
    <numFmt numFmtId="213" formatCode="_-* #,##0.000000_-;\-* #,##0.000000_-;_-* &quot;-&quot;??_-;_-@_-"/>
    <numFmt numFmtId="214" formatCode="#,##0.000000"/>
    <numFmt numFmtId="215" formatCode="#,##0.0000000"/>
    <numFmt numFmtId="216" formatCode="#,##0.00000000"/>
    <numFmt numFmtId="217" formatCode="#,##0.000000000"/>
    <numFmt numFmtId="218" formatCode="_-[$€-410]\ * #,##0.00_-;\-[$€-410]\ * #,##0.00_-;_-[$€-410]\ * &quot;-&quot;??_-;_-@_-"/>
    <numFmt numFmtId="219" formatCode="[$-F800]dddd\,\ mmmm\ dd\,\ yyyy"/>
    <numFmt numFmtId="220" formatCode="[$-410]dddd\ d\ mmmm\ yyyy"/>
    <numFmt numFmtId="221" formatCode="h\.mm\.ss"/>
  </numFmts>
  <fonts count="6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8"/>
      <name val="Helv"/>
      <family val="0"/>
    </font>
    <font>
      <b/>
      <sz val="9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i/>
      <sz val="6"/>
      <color indexed="10"/>
      <name val="Arial"/>
      <family val="2"/>
    </font>
    <font>
      <i/>
      <sz val="5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i/>
      <u val="single"/>
      <sz val="10"/>
      <name val="Arial"/>
      <family val="2"/>
    </font>
    <font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4" tint="-0.4999699890613556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48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71" fontId="0" fillId="0" borderId="12" xfId="46" applyNumberFormat="1" applyFont="1" applyBorder="1" applyAlignment="1">
      <alignment/>
    </xf>
    <xf numFmtId="171" fontId="0" fillId="0" borderId="13" xfId="46" applyNumberFormat="1" applyFont="1" applyBorder="1" applyAlignment="1">
      <alignment/>
    </xf>
    <xf numFmtId="43" fontId="0" fillId="0" borderId="10" xfId="0" applyNumberFormat="1" applyBorder="1" applyAlignment="1">
      <alignment/>
    </xf>
    <xf numFmtId="0" fontId="9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0" fontId="9" fillId="0" borderId="14" xfId="0" applyFont="1" applyBorder="1" applyAlignment="1">
      <alignment/>
    </xf>
    <xf numFmtId="0" fontId="0" fillId="0" borderId="15" xfId="0" applyBorder="1" applyAlignment="1">
      <alignment/>
    </xf>
    <xf numFmtId="43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71" fontId="0" fillId="0" borderId="16" xfId="46" applyNumberFormat="1" applyFont="1" applyBorder="1" applyAlignment="1">
      <alignment/>
    </xf>
    <xf numFmtId="0" fontId="9" fillId="0" borderId="0" xfId="0" applyFont="1" applyBorder="1" applyAlignment="1">
      <alignment/>
    </xf>
    <xf numFmtId="0" fontId="5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0" fillId="0" borderId="11" xfId="0" applyFont="1" applyBorder="1" applyAlignment="1">
      <alignment/>
    </xf>
    <xf numFmtId="0" fontId="0" fillId="0" borderId="19" xfId="0" applyBorder="1" applyAlignment="1">
      <alignment/>
    </xf>
    <xf numFmtId="0" fontId="0" fillId="34" borderId="0" xfId="0" applyFill="1" applyAlignment="1">
      <alignment/>
    </xf>
    <xf numFmtId="0" fontId="5" fillId="0" borderId="17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/>
    </xf>
    <xf numFmtId="0" fontId="0" fillId="0" borderId="20" xfId="0" applyBorder="1" applyAlignment="1">
      <alignment/>
    </xf>
    <xf numFmtId="43" fontId="0" fillId="0" borderId="21" xfId="0" applyNumberFormat="1" applyBorder="1" applyAlignment="1">
      <alignment/>
    </xf>
    <xf numFmtId="43" fontId="0" fillId="0" borderId="13" xfId="0" applyNumberFormat="1" applyBorder="1" applyAlignment="1">
      <alignment/>
    </xf>
    <xf numFmtId="43" fontId="0" fillId="0" borderId="12" xfId="0" applyNumberFormat="1" applyBorder="1" applyAlignment="1">
      <alignment/>
    </xf>
    <xf numFmtId="43" fontId="0" fillId="0" borderId="16" xfId="45" applyFont="1" applyBorder="1" applyAlignment="1">
      <alignment/>
    </xf>
    <xf numFmtId="0" fontId="1" fillId="35" borderId="11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43" fontId="1" fillId="0" borderId="12" xfId="45" applyFont="1" applyBorder="1" applyAlignment="1">
      <alignment horizontal="center"/>
    </xf>
    <xf numFmtId="43" fontId="1" fillId="0" borderId="10" xfId="45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1" fontId="0" fillId="0" borderId="0" xfId="46" applyNumberFormat="1" applyFont="1" applyAlignment="1">
      <alignment/>
    </xf>
    <xf numFmtId="0" fontId="8" fillId="0" borderId="22" xfId="0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171" fontId="5" fillId="0" borderId="0" xfId="46" applyNumberFormat="1" applyFont="1" applyBorder="1" applyAlignment="1">
      <alignment horizontal="center" vertical="center"/>
    </xf>
    <xf numFmtId="43" fontId="5" fillId="0" borderId="21" xfId="45" applyFont="1" applyBorder="1" applyAlignment="1">
      <alignment horizontal="center" vertical="center"/>
    </xf>
    <xf numFmtId="43" fontId="5" fillId="0" borderId="10" xfId="45" applyFont="1" applyBorder="1" applyAlignment="1">
      <alignment horizontal="center"/>
    </xf>
    <xf numFmtId="171" fontId="0" fillId="0" borderId="0" xfId="0" applyNumberFormat="1" applyAlignment="1">
      <alignment/>
    </xf>
    <xf numFmtId="43" fontId="1" fillId="0" borderId="12" xfId="0" applyNumberFormat="1" applyFont="1" applyBorder="1" applyAlignment="1">
      <alignment/>
    </xf>
    <xf numFmtId="43" fontId="16" fillId="0" borderId="21" xfId="45" applyFont="1" applyBorder="1" applyAlignment="1">
      <alignment/>
    </xf>
    <xf numFmtId="174" fontId="0" fillId="0" borderId="21" xfId="45" applyNumberFormat="1" applyFont="1" applyBorder="1" applyAlignment="1">
      <alignment/>
    </xf>
    <xf numFmtId="174" fontId="0" fillId="0" borderId="21" xfId="45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43" fontId="16" fillId="0" borderId="10" xfId="53" applyNumberFormat="1" applyFont="1" applyBorder="1" applyAlignment="1">
      <alignment/>
    </xf>
    <xf numFmtId="0" fontId="0" fillId="0" borderId="0" xfId="0" applyAlignment="1">
      <alignment vertical="center" wrapText="1"/>
    </xf>
    <xf numFmtId="0" fontId="8" fillId="0" borderId="12" xfId="0" applyFont="1" applyBorder="1" applyAlignment="1">
      <alignment/>
    </xf>
    <xf numFmtId="10" fontId="8" fillId="0" borderId="12" xfId="53" applyNumberFormat="1" applyFont="1" applyBorder="1" applyAlignment="1">
      <alignment/>
    </xf>
    <xf numFmtId="172" fontId="8" fillId="0" borderId="12" xfId="53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43" fontId="16" fillId="0" borderId="10" xfId="45" applyFont="1" applyBorder="1" applyAlignment="1">
      <alignment/>
    </xf>
    <xf numFmtId="174" fontId="0" fillId="0" borderId="10" xfId="45" applyNumberFormat="1" applyFont="1" applyBorder="1" applyAlignment="1">
      <alignment/>
    </xf>
    <xf numFmtId="172" fontId="8" fillId="0" borderId="0" xfId="53" applyNumberFormat="1" applyFont="1" applyAlignment="1">
      <alignment/>
    </xf>
    <xf numFmtId="0" fontId="0" fillId="0" borderId="0" xfId="0" applyFont="1" applyBorder="1" applyAlignment="1">
      <alignment/>
    </xf>
    <xf numFmtId="174" fontId="0" fillId="0" borderId="0" xfId="53" applyNumberFormat="1" applyFont="1" applyBorder="1" applyAlignment="1">
      <alignment/>
    </xf>
    <xf numFmtId="43" fontId="16" fillId="0" borderId="17" xfId="53" applyNumberFormat="1" applyFont="1" applyBorder="1" applyAlignment="1">
      <alignment/>
    </xf>
    <xf numFmtId="43" fontId="16" fillId="0" borderId="22" xfId="45" applyFont="1" applyBorder="1" applyAlignment="1">
      <alignment/>
    </xf>
    <xf numFmtId="43" fontId="16" fillId="0" borderId="22" xfId="53" applyNumberFormat="1" applyFont="1" applyBorder="1" applyAlignment="1">
      <alignment/>
    </xf>
    <xf numFmtId="174" fontId="0" fillId="0" borderId="0" xfId="45" applyNumberFormat="1" applyFont="1" applyBorder="1" applyAlignment="1">
      <alignment/>
    </xf>
    <xf numFmtId="43" fontId="16" fillId="0" borderId="17" xfId="45" applyFont="1" applyBorder="1" applyAlignment="1">
      <alignment/>
    </xf>
    <xf numFmtId="10" fontId="0" fillId="0" borderId="0" xfId="53" applyNumberFormat="1" applyFont="1" applyBorder="1" applyAlignment="1">
      <alignment/>
    </xf>
    <xf numFmtId="10" fontId="0" fillId="0" borderId="17" xfId="53" applyNumberFormat="1" applyFont="1" applyBorder="1" applyAlignment="1">
      <alignment/>
    </xf>
    <xf numFmtId="10" fontId="0" fillId="0" borderId="22" xfId="53" applyNumberFormat="1" applyFont="1" applyBorder="1" applyAlignment="1">
      <alignment/>
    </xf>
    <xf numFmtId="43" fontId="5" fillId="0" borderId="0" xfId="45" applyFont="1" applyBorder="1" applyAlignment="1">
      <alignment horizontal="center"/>
    </xf>
    <xf numFmtId="43" fontId="0" fillId="0" borderId="0" xfId="0" applyNumberFormat="1" applyAlignment="1">
      <alignment vertical="center" wrapText="1"/>
    </xf>
    <xf numFmtId="43" fontId="0" fillId="0" borderId="0" xfId="45" applyFont="1" applyAlignment="1">
      <alignment vertical="center" wrapText="1"/>
    </xf>
    <xf numFmtId="43" fontId="0" fillId="0" borderId="0" xfId="0" applyNumberFormat="1" applyAlignment="1">
      <alignment horizontal="center" vertical="center"/>
    </xf>
    <xf numFmtId="172" fontId="8" fillId="0" borderId="21" xfId="53" applyNumberFormat="1" applyFont="1" applyBorder="1" applyAlignment="1">
      <alignment horizontal="center" vertical="center"/>
    </xf>
    <xf numFmtId="9" fontId="8" fillId="0" borderId="22" xfId="53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/>
    </xf>
    <xf numFmtId="43" fontId="0" fillId="0" borderId="16" xfId="45" applyBorder="1" applyAlignment="1">
      <alignment/>
    </xf>
    <xf numFmtId="171" fontId="0" fillId="0" borderId="16" xfId="46" applyNumberFormat="1" applyBorder="1" applyAlignment="1">
      <alignment/>
    </xf>
    <xf numFmtId="171" fontId="0" fillId="0" borderId="12" xfId="46" applyNumberFormat="1" applyBorder="1" applyAlignment="1">
      <alignment/>
    </xf>
    <xf numFmtId="171" fontId="0" fillId="0" borderId="13" xfId="46" applyNumberFormat="1" applyBorder="1" applyAlignment="1">
      <alignment/>
    </xf>
    <xf numFmtId="43" fontId="16" fillId="0" borderId="0" xfId="45" applyFont="1" applyBorder="1" applyAlignment="1">
      <alignment/>
    </xf>
    <xf numFmtId="41" fontId="16" fillId="0" borderId="10" xfId="46" applyFont="1" applyBorder="1" applyAlignment="1">
      <alignment/>
    </xf>
    <xf numFmtId="171" fontId="16" fillId="0" borderId="10" xfId="46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174" fontId="1" fillId="0" borderId="0" xfId="45" applyNumberFormat="1" applyFont="1" applyBorder="1" applyAlignment="1">
      <alignment horizontal="center"/>
    </xf>
    <xf numFmtId="10" fontId="0" fillId="0" borderId="0" xfId="53" applyNumberFormat="1" applyFont="1" applyBorder="1" applyAlignment="1">
      <alignment/>
    </xf>
    <xf numFmtId="174" fontId="0" fillId="0" borderId="0" xfId="53" applyNumberFormat="1" applyFont="1" applyBorder="1" applyAlignment="1">
      <alignment/>
    </xf>
    <xf numFmtId="43" fontId="0" fillId="0" borderId="17" xfId="53" applyNumberFormat="1" applyFont="1" applyBorder="1" applyAlignment="1">
      <alignment/>
    </xf>
    <xf numFmtId="43" fontId="0" fillId="0" borderId="22" xfId="45" applyFont="1" applyBorder="1" applyAlignment="1">
      <alignment/>
    </xf>
    <xf numFmtId="43" fontId="0" fillId="0" borderId="22" xfId="53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34" borderId="0" xfId="0" applyFont="1" applyFill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18" xfId="0" applyFont="1" applyBorder="1" applyAlignment="1">
      <alignment horizontal="center"/>
    </xf>
    <xf numFmtId="43" fontId="16" fillId="0" borderId="25" xfId="45" applyFont="1" applyBorder="1" applyAlignment="1">
      <alignment/>
    </xf>
    <xf numFmtId="43" fontId="16" fillId="0" borderId="29" xfId="45" applyFont="1" applyBorder="1" applyAlignment="1">
      <alignment/>
    </xf>
    <xf numFmtId="0" fontId="0" fillId="34" borderId="17" xfId="0" applyFill="1" applyBorder="1" applyAlignment="1">
      <alignment horizontal="center"/>
    </xf>
    <xf numFmtId="43" fontId="0" fillId="34" borderId="22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1" fontId="1" fillId="0" borderId="12" xfId="46" applyNumberFormat="1" applyFont="1" applyBorder="1" applyAlignment="1">
      <alignment/>
    </xf>
    <xf numFmtId="171" fontId="1" fillId="0" borderId="12" xfId="0" applyNumberFormat="1" applyFont="1" applyBorder="1" applyAlignment="1">
      <alignment/>
    </xf>
    <xf numFmtId="41" fontId="0" fillId="0" borderId="12" xfId="46" applyFont="1" applyBorder="1" applyAlignment="1">
      <alignment/>
    </xf>
    <xf numFmtId="41" fontId="0" fillId="0" borderId="16" xfId="46" applyFont="1" applyBorder="1" applyAlignment="1">
      <alignment/>
    </xf>
    <xf numFmtId="0" fontId="0" fillId="0" borderId="10" xfId="0" applyNumberFormat="1" applyBorder="1" applyAlignment="1">
      <alignment/>
    </xf>
    <xf numFmtId="0" fontId="0" fillId="34" borderId="22" xfId="0" applyFill="1" applyBorder="1" applyAlignment="1">
      <alignment horizontal="center"/>
    </xf>
    <xf numFmtId="0" fontId="0" fillId="0" borderId="11" xfId="0" applyFill="1" applyBorder="1" applyAlignment="1">
      <alignment/>
    </xf>
    <xf numFmtId="43" fontId="16" fillId="0" borderId="30" xfId="45" applyFont="1" applyBorder="1" applyAlignment="1">
      <alignment/>
    </xf>
    <xf numFmtId="43" fontId="16" fillId="0" borderId="31" xfId="45" applyFont="1" applyBorder="1" applyAlignment="1">
      <alignment/>
    </xf>
    <xf numFmtId="10" fontId="8" fillId="0" borderId="25" xfId="53" applyNumberFormat="1" applyFont="1" applyBorder="1" applyAlignment="1">
      <alignment/>
    </xf>
    <xf numFmtId="10" fontId="8" fillId="0" borderId="29" xfId="53" applyNumberFormat="1" applyFont="1" applyBorder="1" applyAlignment="1">
      <alignment/>
    </xf>
    <xf numFmtId="10" fontId="8" fillId="0" borderId="32" xfId="53" applyNumberFormat="1" applyFont="1" applyBorder="1" applyAlignment="1">
      <alignment/>
    </xf>
    <xf numFmtId="172" fontId="8" fillId="0" borderId="11" xfId="53" applyNumberFormat="1" applyFont="1" applyBorder="1" applyAlignment="1">
      <alignment/>
    </xf>
    <xf numFmtId="172" fontId="8" fillId="0" borderId="23" xfId="53" applyNumberFormat="1" applyFont="1" applyBorder="1" applyAlignment="1">
      <alignment/>
    </xf>
    <xf numFmtId="172" fontId="8" fillId="0" borderId="15" xfId="53" applyNumberFormat="1" applyFont="1" applyBorder="1" applyAlignment="1">
      <alignment/>
    </xf>
    <xf numFmtId="172" fontId="8" fillId="0" borderId="32" xfId="53" applyNumberFormat="1" applyFont="1" applyBorder="1" applyAlignment="1">
      <alignment/>
    </xf>
    <xf numFmtId="41" fontId="16" fillId="0" borderId="33" xfId="46" applyFont="1" applyBorder="1" applyAlignment="1">
      <alignment/>
    </xf>
    <xf numFmtId="43" fontId="16" fillId="0" borderId="24" xfId="45" applyFont="1" applyBorder="1" applyAlignment="1">
      <alignment/>
    </xf>
    <xf numFmtId="172" fontId="8" fillId="0" borderId="29" xfId="53" applyNumberFormat="1" applyFont="1" applyBorder="1" applyAlignment="1">
      <alignment/>
    </xf>
    <xf numFmtId="172" fontId="8" fillId="0" borderId="25" xfId="53" applyNumberFormat="1" applyFont="1" applyBorder="1" applyAlignment="1">
      <alignment/>
    </xf>
    <xf numFmtId="43" fontId="16" fillId="0" borderId="34" xfId="45" applyFont="1" applyBorder="1" applyAlignment="1">
      <alignment/>
    </xf>
    <xf numFmtId="43" fontId="16" fillId="0" borderId="35" xfId="45" applyFont="1" applyBorder="1" applyAlignment="1">
      <alignment/>
    </xf>
    <xf numFmtId="43" fontId="16" fillId="0" borderId="36" xfId="45" applyFont="1" applyBorder="1" applyAlignment="1">
      <alignment/>
    </xf>
    <xf numFmtId="43" fontId="16" fillId="0" borderId="37" xfId="45" applyFont="1" applyBorder="1" applyAlignment="1">
      <alignment/>
    </xf>
    <xf numFmtId="43" fontId="16" fillId="0" borderId="38" xfId="45" applyFont="1" applyBorder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43" fontId="20" fillId="0" borderId="0" xfId="0" applyNumberFormat="1" applyFont="1" applyFill="1" applyBorder="1" applyAlignment="1">
      <alignment horizontal="right"/>
    </xf>
    <xf numFmtId="10" fontId="8" fillId="0" borderId="15" xfId="53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horizontal="left"/>
    </xf>
    <xf numFmtId="43" fontId="0" fillId="0" borderId="0" xfId="0" applyNumberFormat="1" applyFont="1" applyAlignment="1">
      <alignment/>
    </xf>
    <xf numFmtId="172" fontId="5" fillId="0" borderId="0" xfId="53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36" borderId="12" xfId="46" applyNumberFormat="1" applyFont="1" applyFill="1" applyBorder="1" applyAlignment="1">
      <alignment/>
    </xf>
    <xf numFmtId="43" fontId="1" fillId="37" borderId="18" xfId="0" applyNumberFormat="1" applyFont="1" applyFill="1" applyBorder="1" applyAlignment="1">
      <alignment horizontal="center"/>
    </xf>
    <xf numFmtId="174" fontId="0" fillId="0" borderId="0" xfId="53" applyNumberFormat="1" applyFont="1" applyBorder="1" applyAlignment="1">
      <alignment/>
    </xf>
    <xf numFmtId="43" fontId="16" fillId="0" borderId="39" xfId="45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1" fontId="19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 vertical="center"/>
    </xf>
    <xf numFmtId="0" fontId="16" fillId="0" borderId="0" xfId="0" applyNumberFormat="1" applyFont="1" applyBorder="1" applyAlignment="1">
      <alignment horizontal="left" vertical="center"/>
    </xf>
    <xf numFmtId="0" fontId="0" fillId="0" borderId="24" xfId="0" applyFont="1" applyBorder="1" applyAlignment="1">
      <alignment/>
    </xf>
    <xf numFmtId="0" fontId="1" fillId="0" borderId="24" xfId="0" applyFont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7" fillId="0" borderId="0" xfId="0" applyNumberFormat="1" applyFont="1" applyAlignment="1">
      <alignment/>
    </xf>
    <xf numFmtId="0" fontId="16" fillId="0" borderId="0" xfId="0" applyFont="1" applyAlignment="1">
      <alignment/>
    </xf>
    <xf numFmtId="43" fontId="0" fillId="0" borderId="16" xfId="45" applyFont="1" applyBorder="1" applyAlignment="1">
      <alignment/>
    </xf>
    <xf numFmtId="0" fontId="23" fillId="0" borderId="0" xfId="0" applyFont="1" applyAlignment="1">
      <alignment horizontal="right"/>
    </xf>
    <xf numFmtId="0" fontId="1" fillId="0" borderId="40" xfId="0" applyNumberFormat="1" applyFont="1" applyFill="1" applyBorder="1" applyAlignment="1">
      <alignment/>
    </xf>
    <xf numFmtId="0" fontId="1" fillId="0" borderId="4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/>
    </xf>
    <xf numFmtId="3" fontId="0" fillId="0" borderId="13" xfId="0" applyNumberFormat="1" applyFont="1" applyBorder="1" applyAlignment="1">
      <alignment horizontal="center" wrapText="1"/>
    </xf>
    <xf numFmtId="3" fontId="0" fillId="0" borderId="41" xfId="0" applyNumberFormat="1" applyFont="1" applyBorder="1" applyAlignment="1">
      <alignment horizontal="center" wrapText="1"/>
    </xf>
    <xf numFmtId="0" fontId="0" fillId="0" borderId="24" xfId="0" applyBorder="1" applyAlignment="1">
      <alignment/>
    </xf>
    <xf numFmtId="0" fontId="0" fillId="37" borderId="0" xfId="0" applyFill="1" applyAlignment="1">
      <alignment/>
    </xf>
    <xf numFmtId="3" fontId="0" fillId="37" borderId="0" xfId="0" applyNumberFormat="1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/>
    </xf>
    <xf numFmtId="171" fontId="0" fillId="0" borderId="12" xfId="46" applyNumberFormat="1" applyFont="1" applyFill="1" applyBorder="1" applyAlignment="1">
      <alignment/>
    </xf>
    <xf numFmtId="43" fontId="0" fillId="0" borderId="21" xfId="0" applyNumberFormat="1" applyFill="1" applyBorder="1" applyAlignment="1">
      <alignment/>
    </xf>
    <xf numFmtId="43" fontId="24" fillId="0" borderId="0" xfId="0" applyNumberFormat="1" applyFont="1" applyAlignment="1">
      <alignment horizontal="right"/>
    </xf>
    <xf numFmtId="0" fontId="20" fillId="0" borderId="0" xfId="0" applyFont="1" applyBorder="1" applyAlignment="1">
      <alignment/>
    </xf>
    <xf numFmtId="10" fontId="5" fillId="35" borderId="22" xfId="53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43" fontId="0" fillId="0" borderId="24" xfId="0" applyNumberFormat="1" applyBorder="1" applyAlignment="1">
      <alignment/>
    </xf>
    <xf numFmtId="43" fontId="1" fillId="0" borderId="1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7" fillId="0" borderId="24" xfId="0" applyNumberFormat="1" applyFont="1" applyBorder="1" applyAlignment="1">
      <alignment/>
    </xf>
    <xf numFmtId="0" fontId="5" fillId="0" borderId="24" xfId="0" applyNumberFormat="1" applyFont="1" applyBorder="1" applyAlignment="1">
      <alignment horizontal="center" wrapText="1"/>
    </xf>
    <xf numFmtId="0" fontId="5" fillId="0" borderId="24" xfId="0" applyNumberFormat="1" applyFont="1" applyFill="1" applyBorder="1" applyAlignment="1">
      <alignment horizontal="center" wrapText="1"/>
    </xf>
    <xf numFmtId="0" fontId="5" fillId="0" borderId="24" xfId="0" applyNumberFormat="1" applyFont="1" applyBorder="1" applyAlignment="1">
      <alignment/>
    </xf>
    <xf numFmtId="0" fontId="1" fillId="0" borderId="24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center"/>
    </xf>
    <xf numFmtId="0" fontId="5" fillId="0" borderId="24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44" fontId="1" fillId="0" borderId="0" xfId="0" applyNumberFormat="1" applyFont="1" applyAlignment="1">
      <alignment horizontal="center"/>
    </xf>
    <xf numFmtId="44" fontId="0" fillId="0" borderId="29" xfId="0" applyNumberFormat="1" applyBorder="1" applyAlignment="1">
      <alignment/>
    </xf>
    <xf numFmtId="44" fontId="0" fillId="0" borderId="23" xfId="0" applyNumberFormat="1" applyBorder="1" applyAlignment="1">
      <alignment/>
    </xf>
    <xf numFmtId="44" fontId="0" fillId="0" borderId="31" xfId="53" applyNumberFormat="1" applyBorder="1" applyAlignment="1">
      <alignment/>
    </xf>
    <xf numFmtId="44" fontId="0" fillId="0" borderId="42" xfId="53" applyNumberFormat="1" applyBorder="1" applyAlignment="1">
      <alignment/>
    </xf>
    <xf numFmtId="44" fontId="0" fillId="0" borderId="22" xfId="0" applyNumberFormat="1" applyBorder="1" applyAlignment="1">
      <alignment/>
    </xf>
    <xf numFmtId="44" fontId="0" fillId="34" borderId="0" xfId="0" applyNumberFormat="1" applyFill="1" applyAlignment="1">
      <alignment/>
    </xf>
    <xf numFmtId="43" fontId="1" fillId="0" borderId="0" xfId="0" applyNumberFormat="1" applyFont="1" applyAlignment="1">
      <alignment horizontal="center"/>
    </xf>
    <xf numFmtId="43" fontId="0" fillId="0" borderId="29" xfId="0" applyNumberFormat="1" applyBorder="1" applyAlignment="1">
      <alignment/>
    </xf>
    <xf numFmtId="43" fontId="0" fillId="0" borderId="23" xfId="0" applyNumberFormat="1" applyBorder="1" applyAlignment="1">
      <alignment/>
    </xf>
    <xf numFmtId="43" fontId="0" fillId="0" borderId="31" xfId="53" applyNumberFormat="1" applyBorder="1" applyAlignment="1">
      <alignment/>
    </xf>
    <xf numFmtId="43" fontId="0" fillId="0" borderId="42" xfId="53" applyNumberFormat="1" applyBorder="1" applyAlignment="1">
      <alignment/>
    </xf>
    <xf numFmtId="43" fontId="0" fillId="0" borderId="23" xfId="53" applyNumberFormat="1" applyBorder="1" applyAlignment="1">
      <alignment/>
    </xf>
    <xf numFmtId="43" fontId="0" fillId="0" borderId="43" xfId="53" applyNumberFormat="1" applyBorder="1" applyAlignment="1">
      <alignment/>
    </xf>
    <xf numFmtId="43" fontId="0" fillId="0" borderId="44" xfId="53" applyNumberFormat="1" applyBorder="1" applyAlignment="1">
      <alignment/>
    </xf>
    <xf numFmtId="43" fontId="1" fillId="0" borderId="42" xfId="53" applyNumberFormat="1" applyFont="1" applyBorder="1" applyAlignment="1">
      <alignment/>
    </xf>
    <xf numFmtId="43" fontId="0" fillId="0" borderId="22" xfId="0" applyNumberFormat="1" applyBorder="1" applyAlignment="1">
      <alignment/>
    </xf>
    <xf numFmtId="43" fontId="0" fillId="34" borderId="0" xfId="0" applyNumberFormat="1" applyFill="1" applyAlignment="1">
      <alignment/>
    </xf>
    <xf numFmtId="43" fontId="0" fillId="0" borderId="31" xfId="53" applyNumberFormat="1" applyFont="1" applyBorder="1" applyAlignment="1">
      <alignment/>
    </xf>
    <xf numFmtId="171" fontId="0" fillId="0" borderId="45" xfId="46" applyNumberFormat="1" applyBorder="1" applyAlignment="1">
      <alignment/>
    </xf>
    <xf numFmtId="43" fontId="0" fillId="0" borderId="24" xfId="53" applyNumberFormat="1" applyBorder="1" applyAlignment="1">
      <alignment/>
    </xf>
    <xf numFmtId="173" fontId="16" fillId="0" borderId="10" xfId="46" applyNumberFormat="1" applyFont="1" applyBorder="1" applyAlignment="1">
      <alignment/>
    </xf>
    <xf numFmtId="43" fontId="7" fillId="0" borderId="24" xfId="45" applyFont="1" applyBorder="1" applyAlignment="1">
      <alignment/>
    </xf>
    <xf numFmtId="0" fontId="7" fillId="0" borderId="0" xfId="0" applyNumberFormat="1" applyFont="1" applyFill="1" applyBorder="1" applyAlignment="1">
      <alignment/>
    </xf>
    <xf numFmtId="43" fontId="7" fillId="0" borderId="24" xfId="45" applyFont="1" applyFill="1" applyBorder="1" applyAlignment="1">
      <alignment/>
    </xf>
    <xf numFmtId="43" fontId="7" fillId="38" borderId="24" xfId="45" applyFont="1" applyFill="1" applyBorder="1" applyAlignment="1">
      <alignment/>
    </xf>
    <xf numFmtId="43" fontId="5" fillId="39" borderId="24" xfId="45" applyFont="1" applyFill="1" applyBorder="1" applyAlignment="1">
      <alignment/>
    </xf>
    <xf numFmtId="0" fontId="5" fillId="38" borderId="24" xfId="0" applyNumberFormat="1" applyFont="1" applyFill="1" applyBorder="1" applyAlignment="1">
      <alignment/>
    </xf>
    <xf numFmtId="0" fontId="5" fillId="38" borderId="24" xfId="0" applyNumberFormat="1" applyFont="1" applyFill="1" applyBorder="1" applyAlignment="1">
      <alignment/>
    </xf>
    <xf numFmtId="0" fontId="7" fillId="38" borderId="0" xfId="0" applyNumberFormat="1" applyFont="1" applyFill="1" applyBorder="1" applyAlignment="1">
      <alignment/>
    </xf>
    <xf numFmtId="43" fontId="7" fillId="38" borderId="24" xfId="0" applyNumberFormat="1" applyFont="1" applyFill="1" applyBorder="1" applyAlignment="1">
      <alignment horizontal="center" wrapText="1"/>
    </xf>
    <xf numFmtId="43" fontId="7" fillId="38" borderId="0" xfId="0" applyNumberFormat="1" applyFont="1" applyFill="1" applyBorder="1" applyAlignment="1">
      <alignment horizontal="center" wrapText="1"/>
    </xf>
    <xf numFmtId="43" fontId="5" fillId="39" borderId="24" xfId="0" applyNumberFormat="1" applyFont="1" applyFill="1" applyBorder="1" applyAlignment="1">
      <alignment horizontal="center" wrapText="1"/>
    </xf>
    <xf numFmtId="0" fontId="5" fillId="38" borderId="0" xfId="0" applyNumberFormat="1" applyFont="1" applyFill="1" applyBorder="1" applyAlignment="1">
      <alignment/>
    </xf>
    <xf numFmtId="43" fontId="7" fillId="38" borderId="24" xfId="45" applyFont="1" applyFill="1" applyBorder="1" applyAlignment="1">
      <alignment horizontal="center"/>
    </xf>
    <xf numFmtId="43" fontId="0" fillId="38" borderId="24" xfId="0" applyNumberFormat="1" applyFont="1" applyFill="1" applyBorder="1" applyAlignment="1">
      <alignment/>
    </xf>
    <xf numFmtId="43" fontId="5" fillId="39" borderId="24" xfId="45" applyFont="1" applyFill="1" applyBorder="1" applyAlignment="1">
      <alignment horizontal="center"/>
    </xf>
    <xf numFmtId="176" fontId="26" fillId="38" borderId="24" xfId="46" applyNumberFormat="1" applyFont="1" applyFill="1" applyBorder="1" applyAlignment="1">
      <alignment horizontal="right" vertical="center" wrapText="1"/>
    </xf>
    <xf numFmtId="44" fontId="26" fillId="38" borderId="24" xfId="53" applyNumberFormat="1" applyFont="1" applyFill="1" applyBorder="1" applyAlignment="1">
      <alignment vertical="center"/>
    </xf>
    <xf numFmtId="171" fontId="26" fillId="38" borderId="24" xfId="46" applyNumberFormat="1" applyFont="1" applyFill="1" applyBorder="1" applyAlignment="1">
      <alignment vertical="center"/>
    </xf>
    <xf numFmtId="176" fontId="26" fillId="38" borderId="24" xfId="46" applyNumberFormat="1" applyFont="1" applyFill="1" applyBorder="1" applyAlignment="1">
      <alignment horizontal="right" vertical="center"/>
    </xf>
    <xf numFmtId="43" fontId="7" fillId="0" borderId="24" xfId="45" applyFont="1" applyBorder="1" applyAlignment="1">
      <alignment/>
    </xf>
    <xf numFmtId="43" fontId="5" fillId="39" borderId="24" xfId="45" applyFont="1" applyFill="1" applyBorder="1" applyAlignment="1">
      <alignment/>
    </xf>
    <xf numFmtId="0" fontId="7" fillId="38" borderId="0" xfId="0" applyNumberFormat="1" applyFont="1" applyFill="1" applyAlignment="1">
      <alignment/>
    </xf>
    <xf numFmtId="0" fontId="7" fillId="38" borderId="0" xfId="0" applyNumberFormat="1" applyFont="1" applyFill="1" applyBorder="1" applyAlignment="1">
      <alignment/>
    </xf>
    <xf numFmtId="0" fontId="27" fillId="0" borderId="0" xfId="0" applyFont="1" applyAlignment="1">
      <alignment/>
    </xf>
    <xf numFmtId="43" fontId="0" fillId="0" borderId="24" xfId="45" applyFont="1" applyBorder="1" applyAlignment="1">
      <alignment/>
    </xf>
    <xf numFmtId="10" fontId="5" fillId="35" borderId="10" xfId="53" applyNumberFormat="1" applyFont="1" applyFill="1" applyBorder="1" applyAlignment="1">
      <alignment/>
    </xf>
    <xf numFmtId="0" fontId="5" fillId="0" borderId="46" xfId="0" applyFont="1" applyBorder="1" applyAlignment="1">
      <alignment horizontal="center"/>
    </xf>
    <xf numFmtId="0" fontId="7" fillId="0" borderId="46" xfId="0" applyNumberFormat="1" applyFont="1" applyBorder="1" applyAlignment="1">
      <alignment/>
    </xf>
    <xf numFmtId="0" fontId="5" fillId="0" borderId="46" xfId="0" applyNumberFormat="1" applyFont="1" applyFill="1" applyBorder="1" applyAlignment="1">
      <alignment horizontal="center" wrapText="1"/>
    </xf>
    <xf numFmtId="43" fontId="1" fillId="0" borderId="0" xfId="45" applyFont="1" applyFill="1" applyBorder="1" applyAlignment="1">
      <alignment vertical="center" wrapText="1"/>
    </xf>
    <xf numFmtId="10" fontId="0" fillId="0" borderId="24" xfId="53" applyNumberFormat="1" applyFont="1" applyBorder="1" applyAlignment="1">
      <alignment/>
    </xf>
    <xf numFmtId="43" fontId="5" fillId="38" borderId="24" xfId="45" applyFont="1" applyFill="1" applyBorder="1" applyAlignment="1">
      <alignment/>
    </xf>
    <xf numFmtId="43" fontId="5" fillId="0" borderId="24" xfId="45" applyFont="1" applyBorder="1" applyAlignment="1">
      <alignment/>
    </xf>
    <xf numFmtId="43" fontId="0" fillId="0" borderId="32" xfId="0" applyNumberFormat="1" applyBorder="1" applyAlignment="1">
      <alignment/>
    </xf>
    <xf numFmtId="43" fontId="0" fillId="0" borderId="41" xfId="0" applyNumberFormat="1" applyBorder="1" applyAlignment="1">
      <alignment/>
    </xf>
    <xf numFmtId="43" fontId="0" fillId="0" borderId="47" xfId="0" applyNumberFormat="1" applyBorder="1" applyAlignment="1">
      <alignment/>
    </xf>
    <xf numFmtId="43" fontId="0" fillId="0" borderId="33" xfId="0" applyNumberFormat="1" applyBorder="1" applyAlignment="1">
      <alignment/>
    </xf>
    <xf numFmtId="0" fontId="5" fillId="40" borderId="46" xfId="0" applyFont="1" applyFill="1" applyBorder="1" applyAlignment="1">
      <alignment horizontal="center"/>
    </xf>
    <xf numFmtId="43" fontId="1" fillId="40" borderId="24" xfId="0" applyNumberFormat="1" applyFont="1" applyFill="1" applyBorder="1" applyAlignment="1">
      <alignment/>
    </xf>
    <xf numFmtId="0" fontId="5" fillId="0" borderId="46" xfId="0" applyFont="1" applyFill="1" applyBorder="1" applyAlignment="1">
      <alignment horizontal="center"/>
    </xf>
    <xf numFmtId="0" fontId="1" fillId="36" borderId="48" xfId="0" applyFont="1" applyFill="1" applyBorder="1" applyAlignment="1">
      <alignment/>
    </xf>
    <xf numFmtId="4" fontId="1" fillId="36" borderId="48" xfId="0" applyNumberFormat="1" applyFont="1" applyFill="1" applyBorder="1" applyAlignment="1">
      <alignment/>
    </xf>
    <xf numFmtId="43" fontId="0" fillId="36" borderId="48" xfId="45" applyFont="1" applyFill="1" applyBorder="1" applyAlignment="1">
      <alignment/>
    </xf>
    <xf numFmtId="10" fontId="0" fillId="36" borderId="48" xfId="53" applyNumberFormat="1" applyFont="1" applyFill="1" applyBorder="1" applyAlignment="1">
      <alignment/>
    </xf>
    <xf numFmtId="0" fontId="5" fillId="36" borderId="49" xfId="0" applyFont="1" applyFill="1" applyBorder="1" applyAlignment="1">
      <alignment/>
    </xf>
    <xf numFmtId="43" fontId="5" fillId="36" borderId="50" xfId="0" applyNumberFormat="1" applyFont="1" applyFill="1" applyBorder="1" applyAlignment="1">
      <alignment/>
    </xf>
    <xf numFmtId="43" fontId="7" fillId="36" borderId="50" xfId="0" applyNumberFormat="1" applyFont="1" applyFill="1" applyBorder="1" applyAlignment="1">
      <alignment/>
    </xf>
    <xf numFmtId="10" fontId="0" fillId="36" borderId="51" xfId="53" applyNumberFormat="1" applyFont="1" applyFill="1" applyBorder="1" applyAlignment="1">
      <alignment/>
    </xf>
    <xf numFmtId="43" fontId="5" fillId="0" borderId="24" xfId="45" applyFont="1" applyFill="1" applyBorder="1" applyAlignment="1">
      <alignment/>
    </xf>
    <xf numFmtId="43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43" fontId="0" fillId="0" borderId="24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43" fontId="0" fillId="0" borderId="0" xfId="0" applyNumberFormat="1" applyFont="1" applyFill="1" applyAlignment="1">
      <alignment/>
    </xf>
    <xf numFmtId="43" fontId="1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0" fontId="5" fillId="0" borderId="52" xfId="0" applyNumberFormat="1" applyFont="1" applyBorder="1" applyAlignment="1">
      <alignment/>
    </xf>
    <xf numFmtId="0" fontId="7" fillId="0" borderId="48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3" fillId="0" borderId="11" xfId="0" applyNumberFormat="1" applyFont="1" applyBorder="1" applyAlignment="1">
      <alignment horizontal="left"/>
    </xf>
    <xf numFmtId="43" fontId="0" fillId="0" borderId="48" xfId="0" applyNumberFormat="1" applyFont="1" applyFill="1" applyBorder="1" applyAlignment="1">
      <alignment/>
    </xf>
    <xf numFmtId="0" fontId="8" fillId="0" borderId="17" xfId="0" applyNumberFormat="1" applyFont="1" applyFill="1" applyBorder="1" applyAlignment="1">
      <alignment horizontal="left"/>
    </xf>
    <xf numFmtId="43" fontId="1" fillId="41" borderId="18" xfId="0" applyNumberFormat="1" applyFont="1" applyFill="1" applyBorder="1" applyAlignment="1">
      <alignment/>
    </xf>
    <xf numFmtId="43" fontId="1" fillId="41" borderId="22" xfId="0" applyNumberFormat="1" applyFont="1" applyFill="1" applyBorder="1" applyAlignment="1">
      <alignment/>
    </xf>
    <xf numFmtId="0" fontId="5" fillId="0" borderId="24" xfId="0" applyFont="1" applyBorder="1" applyAlignment="1">
      <alignment/>
    </xf>
    <xf numFmtId="0" fontId="1" fillId="0" borderId="24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/>
    </xf>
    <xf numFmtId="4" fontId="7" fillId="0" borderId="24" xfId="0" applyNumberFormat="1" applyFont="1" applyFill="1" applyBorder="1" applyAlignment="1">
      <alignment/>
    </xf>
    <xf numFmtId="0" fontId="7" fillId="0" borderId="24" xfId="0" applyNumberFormat="1" applyFont="1" applyBorder="1" applyAlignment="1">
      <alignment horizontal="left"/>
    </xf>
    <xf numFmtId="0" fontId="7" fillId="0" borderId="24" xfId="0" applyFont="1" applyBorder="1" applyAlignment="1">
      <alignment/>
    </xf>
    <xf numFmtId="0" fontId="5" fillId="41" borderId="24" xfId="0" applyNumberFormat="1" applyFont="1" applyFill="1" applyBorder="1" applyAlignment="1">
      <alignment/>
    </xf>
    <xf numFmtId="4" fontId="5" fillId="41" borderId="24" xfId="0" applyNumberFormat="1" applyFont="1" applyFill="1" applyBorder="1" applyAlignment="1">
      <alignment/>
    </xf>
    <xf numFmtId="0" fontId="8" fillId="0" borderId="32" xfId="0" applyFont="1" applyBorder="1" applyAlignment="1">
      <alignment/>
    </xf>
    <xf numFmtId="0" fontId="1" fillId="42" borderId="11" xfId="0" applyFont="1" applyFill="1" applyBorder="1" applyAlignment="1">
      <alignment/>
    </xf>
    <xf numFmtId="43" fontId="0" fillId="42" borderId="48" xfId="0" applyNumberFormat="1" applyFill="1" applyBorder="1" applyAlignment="1">
      <alignment/>
    </xf>
    <xf numFmtId="0" fontId="0" fillId="42" borderId="0" xfId="0" applyFill="1" applyAlignment="1">
      <alignment/>
    </xf>
    <xf numFmtId="43" fontId="7" fillId="43" borderId="24" xfId="45" applyFont="1" applyFill="1" applyBorder="1" applyAlignment="1">
      <alignment/>
    </xf>
    <xf numFmtId="0" fontId="7" fillId="0" borderId="0" xfId="0" applyNumberFormat="1" applyFont="1" applyAlignment="1">
      <alignment horizontal="center"/>
    </xf>
    <xf numFmtId="0" fontId="7" fillId="0" borderId="24" xfId="0" applyNumberFormat="1" applyFont="1" applyBorder="1" applyAlignment="1">
      <alignment horizontal="left"/>
    </xf>
    <xf numFmtId="0" fontId="2" fillId="12" borderId="24" xfId="0" applyFont="1" applyFill="1" applyBorder="1" applyAlignment="1">
      <alignment/>
    </xf>
    <xf numFmtId="0" fontId="5" fillId="12" borderId="24" xfId="0" applyNumberFormat="1" applyFont="1" applyFill="1" applyBorder="1" applyAlignment="1">
      <alignment horizontal="center" wrapText="1"/>
    </xf>
    <xf numFmtId="4" fontId="7" fillId="0" borderId="24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10" fontId="8" fillId="0" borderId="12" xfId="54" applyNumberFormat="1" applyFont="1" applyBorder="1" applyAlignment="1">
      <alignment/>
    </xf>
    <xf numFmtId="10" fontId="8" fillId="0" borderId="15" xfId="54" applyNumberFormat="1" applyFont="1" applyBorder="1" applyAlignment="1">
      <alignment/>
    </xf>
    <xf numFmtId="10" fontId="8" fillId="0" borderId="25" xfId="54" applyNumberFormat="1" applyFont="1" applyBorder="1" applyAlignment="1">
      <alignment/>
    </xf>
    <xf numFmtId="10" fontId="8" fillId="0" borderId="32" xfId="54" applyNumberFormat="1" applyFont="1" applyBorder="1" applyAlignment="1">
      <alignment/>
    </xf>
    <xf numFmtId="10" fontId="8" fillId="0" borderId="29" xfId="54" applyNumberFormat="1" applyFont="1" applyBorder="1" applyAlignment="1">
      <alignment/>
    </xf>
    <xf numFmtId="172" fontId="8" fillId="0" borderId="12" xfId="54" applyNumberFormat="1" applyFont="1" applyBorder="1" applyAlignment="1">
      <alignment/>
    </xf>
    <xf numFmtId="172" fontId="8" fillId="0" borderId="11" xfId="54" applyNumberFormat="1" applyFont="1" applyBorder="1" applyAlignment="1">
      <alignment/>
    </xf>
    <xf numFmtId="172" fontId="8" fillId="0" borderId="32" xfId="54" applyNumberFormat="1" applyFont="1" applyBorder="1" applyAlignment="1">
      <alignment/>
    </xf>
    <xf numFmtId="172" fontId="8" fillId="0" borderId="23" xfId="54" applyNumberFormat="1" applyFont="1" applyBorder="1" applyAlignment="1">
      <alignment/>
    </xf>
    <xf numFmtId="172" fontId="8" fillId="0" borderId="15" xfId="54" applyNumberFormat="1" applyFont="1" applyBorder="1" applyAlignment="1">
      <alignment/>
    </xf>
    <xf numFmtId="172" fontId="8" fillId="0" borderId="25" xfId="54" applyNumberFormat="1" applyFont="1" applyBorder="1" applyAlignment="1">
      <alignment/>
    </xf>
    <xf numFmtId="172" fontId="8" fillId="0" borderId="29" xfId="54" applyNumberFormat="1" applyFont="1" applyBorder="1" applyAlignment="1">
      <alignment/>
    </xf>
    <xf numFmtId="10" fontId="0" fillId="0" borderId="42" xfId="54" applyNumberFormat="1" applyFont="1" applyFill="1" applyBorder="1" applyAlignment="1">
      <alignment/>
    </xf>
    <xf numFmtId="10" fontId="0" fillId="0" borderId="53" xfId="54" applyNumberFormat="1" applyFont="1" applyFill="1" applyBorder="1" applyAlignment="1">
      <alignment/>
    </xf>
    <xf numFmtId="43" fontId="16" fillId="0" borderId="21" xfId="48" applyFont="1" applyBorder="1" applyAlignment="1">
      <alignment/>
    </xf>
    <xf numFmtId="43" fontId="0" fillId="0" borderId="21" xfId="48" applyFont="1" applyBorder="1" applyAlignment="1">
      <alignment/>
    </xf>
    <xf numFmtId="43" fontId="0" fillId="0" borderId="21" xfId="48" applyNumberFormat="1" applyFont="1" applyFill="1" applyBorder="1" applyAlignment="1">
      <alignment/>
    </xf>
    <xf numFmtId="174" fontId="0" fillId="0" borderId="21" xfId="48" applyNumberFormat="1" applyFont="1" applyBorder="1" applyAlignment="1">
      <alignment/>
    </xf>
    <xf numFmtId="43" fontId="16" fillId="0" borderId="30" xfId="48" applyFont="1" applyBorder="1" applyAlignment="1">
      <alignment/>
    </xf>
    <xf numFmtId="43" fontId="16" fillId="0" borderId="31" xfId="48" applyFont="1" applyBorder="1" applyAlignment="1">
      <alignment/>
    </xf>
    <xf numFmtId="174" fontId="16" fillId="0" borderId="21" xfId="48" applyNumberFormat="1" applyFont="1" applyFill="1" applyBorder="1" applyAlignment="1">
      <alignment/>
    </xf>
    <xf numFmtId="43" fontId="16" fillId="0" borderId="40" xfId="48" applyFont="1" applyBorder="1" applyAlignment="1">
      <alignment/>
    </xf>
    <xf numFmtId="43" fontId="16" fillId="0" borderId="13" xfId="48" applyFont="1" applyBorder="1" applyAlignment="1">
      <alignment/>
    </xf>
    <xf numFmtId="43" fontId="16" fillId="0" borderId="42" xfId="48" applyFont="1" applyBorder="1" applyAlignment="1">
      <alignment/>
    </xf>
    <xf numFmtId="43" fontId="5" fillId="0" borderId="21" xfId="48" applyFont="1" applyBorder="1" applyAlignment="1">
      <alignment horizontal="center" vertical="center"/>
    </xf>
    <xf numFmtId="172" fontId="8" fillId="0" borderId="21" xfId="54" applyNumberFormat="1" applyFont="1" applyBorder="1" applyAlignment="1">
      <alignment horizontal="center" vertical="center"/>
    </xf>
    <xf numFmtId="174" fontId="0" fillId="0" borderId="21" xfId="48" applyNumberFormat="1" applyFont="1" applyFill="1" applyBorder="1" applyAlignment="1">
      <alignment/>
    </xf>
    <xf numFmtId="43" fontId="16" fillId="0" borderId="41" xfId="48" applyFont="1" applyBorder="1" applyAlignment="1">
      <alignment/>
    </xf>
    <xf numFmtId="43" fontId="0" fillId="0" borderId="41" xfId="48" applyFont="1" applyBorder="1" applyAlignment="1">
      <alignment/>
    </xf>
    <xf numFmtId="43" fontId="16" fillId="0" borderId="39" xfId="48" applyFont="1" applyBorder="1" applyAlignment="1">
      <alignment/>
    </xf>
    <xf numFmtId="43" fontId="16" fillId="0" borderId="54" xfId="48" applyFont="1" applyBorder="1" applyAlignment="1">
      <alignment/>
    </xf>
    <xf numFmtId="174" fontId="1" fillId="0" borderId="27" xfId="48" applyNumberFormat="1" applyFont="1" applyFill="1" applyBorder="1" applyAlignment="1">
      <alignment horizontal="center"/>
    </xf>
    <xf numFmtId="9" fontId="1" fillId="0" borderId="17" xfId="54" applyFont="1" applyFill="1" applyBorder="1" applyAlignment="1">
      <alignment horizontal="center"/>
    </xf>
    <xf numFmtId="43" fontId="16" fillId="0" borderId="10" xfId="48" applyFont="1" applyBorder="1" applyAlignment="1">
      <alignment/>
    </xf>
    <xf numFmtId="43" fontId="0" fillId="0" borderId="10" xfId="54" applyNumberFormat="1" applyFont="1" applyBorder="1" applyAlignment="1">
      <alignment/>
    </xf>
    <xf numFmtId="43" fontId="0" fillId="0" borderId="10" xfId="48" applyFont="1" applyBorder="1" applyAlignment="1">
      <alignment/>
    </xf>
    <xf numFmtId="43" fontId="0" fillId="0" borderId="10" xfId="54" applyNumberFormat="1" applyFont="1" applyFill="1" applyBorder="1" applyAlignment="1">
      <alignment/>
    </xf>
    <xf numFmtId="174" fontId="0" fillId="0" borderId="10" xfId="48" applyNumberFormat="1" applyFont="1" applyBorder="1" applyAlignment="1">
      <alignment/>
    </xf>
    <xf numFmtId="43" fontId="16" fillId="0" borderId="17" xfId="48" applyFont="1" applyBorder="1" applyAlignment="1">
      <alignment/>
    </xf>
    <xf numFmtId="43" fontId="16" fillId="0" borderId="22" xfId="48" applyFont="1" applyBorder="1" applyAlignment="1">
      <alignment/>
    </xf>
    <xf numFmtId="43" fontId="16" fillId="0" borderId="33" xfId="48" applyFont="1" applyBorder="1" applyAlignment="1">
      <alignment/>
    </xf>
    <xf numFmtId="41" fontId="16" fillId="0" borderId="10" xfId="47" applyFont="1" applyBorder="1" applyAlignment="1">
      <alignment/>
    </xf>
    <xf numFmtId="171" fontId="16" fillId="0" borderId="10" xfId="47" applyNumberFormat="1" applyFont="1" applyBorder="1" applyAlignment="1">
      <alignment/>
    </xf>
    <xf numFmtId="41" fontId="16" fillId="0" borderId="33" xfId="47" applyFont="1" applyBorder="1" applyAlignment="1">
      <alignment/>
    </xf>
    <xf numFmtId="43" fontId="16" fillId="0" borderId="10" xfId="54" applyNumberFormat="1" applyFont="1" applyBorder="1" applyAlignment="1">
      <alignment/>
    </xf>
    <xf numFmtId="43" fontId="5" fillId="0" borderId="10" xfId="48" applyFont="1" applyBorder="1" applyAlignment="1">
      <alignment horizontal="center"/>
    </xf>
    <xf numFmtId="9" fontId="8" fillId="0" borderId="22" xfId="54" applyFont="1" applyBorder="1" applyAlignment="1">
      <alignment horizontal="center" vertical="center"/>
    </xf>
    <xf numFmtId="174" fontId="1" fillId="0" borderId="0" xfId="48" applyNumberFormat="1" applyFont="1" applyBorder="1" applyAlignment="1">
      <alignment horizontal="center"/>
    </xf>
    <xf numFmtId="10" fontId="0" fillId="0" borderId="0" xfId="54" applyNumberFormat="1" applyFont="1" applyBorder="1" applyAlignment="1">
      <alignment/>
    </xf>
    <xf numFmtId="174" fontId="0" fillId="0" borderId="0" xfId="54" applyNumberFormat="1" applyFont="1" applyBorder="1" applyAlignment="1">
      <alignment/>
    </xf>
    <xf numFmtId="43" fontId="0" fillId="0" borderId="17" xfId="54" applyNumberFormat="1" applyFont="1" applyBorder="1" applyAlignment="1">
      <alignment/>
    </xf>
    <xf numFmtId="43" fontId="0" fillId="0" borderId="22" xfId="48" applyFont="1" applyBorder="1" applyAlignment="1">
      <alignment/>
    </xf>
    <xf numFmtId="43" fontId="0" fillId="0" borderId="22" xfId="54" applyNumberFormat="1" applyFont="1" applyBorder="1" applyAlignment="1">
      <alignment/>
    </xf>
    <xf numFmtId="174" fontId="0" fillId="0" borderId="0" xfId="48" applyNumberFormat="1" applyFont="1" applyBorder="1" applyAlignment="1">
      <alignment/>
    </xf>
    <xf numFmtId="43" fontId="16" fillId="0" borderId="0" xfId="48" applyFont="1" applyBorder="1" applyAlignment="1">
      <alignment/>
    </xf>
    <xf numFmtId="174" fontId="0" fillId="0" borderId="0" xfId="54" applyNumberFormat="1" applyFont="1" applyBorder="1" applyAlignment="1">
      <alignment/>
    </xf>
    <xf numFmtId="43" fontId="16" fillId="0" borderId="25" xfId="48" applyFont="1" applyBorder="1" applyAlignment="1">
      <alignment/>
    </xf>
    <xf numFmtId="43" fontId="16" fillId="0" borderId="29" xfId="48" applyFont="1" applyBorder="1" applyAlignment="1">
      <alignment/>
    </xf>
    <xf numFmtId="43" fontId="16" fillId="0" borderId="17" xfId="54" applyNumberFormat="1" applyFont="1" applyBorder="1" applyAlignment="1">
      <alignment/>
    </xf>
    <xf numFmtId="43" fontId="16" fillId="0" borderId="22" xfId="54" applyNumberFormat="1" applyFont="1" applyBorder="1" applyAlignment="1">
      <alignment/>
    </xf>
    <xf numFmtId="10" fontId="0" fillId="0" borderId="0" xfId="54" applyNumberFormat="1" applyFont="1" applyBorder="1" applyAlignment="1">
      <alignment/>
    </xf>
    <xf numFmtId="10" fontId="0" fillId="0" borderId="17" xfId="54" applyNumberFormat="1" applyFont="1" applyBorder="1" applyAlignment="1">
      <alignment/>
    </xf>
    <xf numFmtId="10" fontId="0" fillId="0" borderId="22" xfId="54" applyNumberFormat="1" applyFont="1" applyBorder="1" applyAlignment="1">
      <alignment/>
    </xf>
    <xf numFmtId="43" fontId="5" fillId="0" borderId="0" xfId="48" applyFont="1" applyBorder="1" applyAlignment="1">
      <alignment horizontal="center"/>
    </xf>
    <xf numFmtId="171" fontId="5" fillId="0" borderId="0" xfId="47" applyNumberFormat="1" applyFont="1" applyBorder="1" applyAlignment="1">
      <alignment horizontal="center" vertical="center"/>
    </xf>
    <xf numFmtId="171" fontId="0" fillId="0" borderId="0" xfId="47" applyNumberFormat="1" applyFont="1" applyAlignment="1">
      <alignment/>
    </xf>
    <xf numFmtId="172" fontId="8" fillId="0" borderId="0" xfId="54" applyNumberFormat="1" applyFont="1" applyAlignment="1">
      <alignment/>
    </xf>
    <xf numFmtId="0" fontId="0" fillId="38" borderId="0" xfId="0" applyFill="1" applyBorder="1" applyAlignment="1">
      <alignment horizontal="center"/>
    </xf>
    <xf numFmtId="43" fontId="0" fillId="0" borderId="0" xfId="0" applyNumberFormat="1" applyBorder="1" applyAlignment="1">
      <alignment/>
    </xf>
    <xf numFmtId="10" fontId="46" fillId="0" borderId="0" xfId="54" applyNumberFormat="1" applyFont="1" applyBorder="1" applyAlignment="1">
      <alignment horizontal="center"/>
    </xf>
    <xf numFmtId="43" fontId="7" fillId="0" borderId="24" xfId="45" applyFont="1" applyBorder="1" applyAlignment="1">
      <alignment horizontal="center"/>
    </xf>
    <xf numFmtId="0" fontId="7" fillId="0" borderId="24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43" fontId="16" fillId="42" borderId="31" xfId="45" applyFont="1" applyFill="1" applyBorder="1" applyAlignment="1">
      <alignment/>
    </xf>
    <xf numFmtId="0" fontId="0" fillId="42" borderId="0" xfId="0" applyFont="1" applyFill="1" applyAlignment="1">
      <alignment/>
    </xf>
    <xf numFmtId="0" fontId="1" fillId="0" borderId="24" xfId="0" applyNumberFormat="1" applyFont="1" applyFill="1" applyBorder="1" applyAlignment="1">
      <alignment/>
    </xf>
    <xf numFmtId="0" fontId="1" fillId="0" borderId="24" xfId="0" applyNumberFormat="1" applyFont="1" applyFill="1" applyBorder="1" applyAlignment="1">
      <alignment/>
    </xf>
    <xf numFmtId="43" fontId="7" fillId="0" borderId="24" xfId="45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181" fontId="22" fillId="0" borderId="0" xfId="0" applyNumberFormat="1" applyFont="1" applyBorder="1" applyAlignment="1">
      <alignment/>
    </xf>
    <xf numFmtId="181" fontId="22" fillId="0" borderId="0" xfId="0" applyNumberFormat="1" applyFont="1" applyFill="1" applyBorder="1" applyAlignment="1">
      <alignment/>
    </xf>
    <xf numFmtId="172" fontId="8" fillId="0" borderId="12" xfId="53" applyNumberFormat="1" applyFont="1" applyFill="1" applyBorder="1" applyAlignment="1">
      <alignment/>
    </xf>
    <xf numFmtId="173" fontId="16" fillId="0" borderId="21" xfId="45" applyNumberFormat="1" applyFont="1" applyFill="1" applyBorder="1" applyAlignment="1">
      <alignment/>
    </xf>
    <xf numFmtId="43" fontId="7" fillId="36" borderId="55" xfId="45" applyFont="1" applyFill="1" applyBorder="1" applyAlignment="1">
      <alignment/>
    </xf>
    <xf numFmtId="0" fontId="5" fillId="0" borderId="24" xfId="0" applyFont="1" applyBorder="1" applyAlignment="1">
      <alignment horizontal="center"/>
    </xf>
    <xf numFmtId="43" fontId="0" fillId="0" borderId="24" xfId="45" applyFont="1" applyFill="1" applyBorder="1" applyAlignment="1">
      <alignment/>
    </xf>
    <xf numFmtId="43" fontId="0" fillId="43" borderId="37" xfId="45" applyFont="1" applyFill="1" applyBorder="1" applyAlignment="1">
      <alignment/>
    </xf>
    <xf numFmtId="0" fontId="5" fillId="0" borderId="0" xfId="0" applyFont="1" applyBorder="1" applyAlignment="1">
      <alignment/>
    </xf>
    <xf numFmtId="10" fontId="5" fillId="0" borderId="0" xfId="53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0" fontId="22" fillId="8" borderId="13" xfId="53" applyNumberFormat="1" applyFont="1" applyFill="1" applyBorder="1" applyAlignment="1">
      <alignment/>
    </xf>
    <xf numFmtId="10" fontId="22" fillId="8" borderId="41" xfId="53" applyNumberFormat="1" applyFont="1" applyFill="1" applyBorder="1" applyAlignment="1">
      <alignment/>
    </xf>
    <xf numFmtId="0" fontId="22" fillId="8" borderId="13" xfId="0" applyNumberFormat="1" applyFont="1" applyFill="1" applyBorder="1" applyAlignment="1">
      <alignment/>
    </xf>
    <xf numFmtId="0" fontId="22" fillId="8" borderId="41" xfId="0" applyNumberFormat="1" applyFont="1" applyFill="1" applyBorder="1" applyAlignment="1">
      <alignment/>
    </xf>
    <xf numFmtId="174" fontId="16" fillId="8" borderId="33" xfId="53" applyNumberFormat="1" applyFont="1" applyFill="1" applyBorder="1" applyAlignment="1">
      <alignment horizontal="center"/>
    </xf>
    <xf numFmtId="43" fontId="7" fillId="8" borderId="24" xfId="45" applyFont="1" applyFill="1" applyBorder="1" applyAlignment="1">
      <alignment/>
    </xf>
    <xf numFmtId="1" fontId="16" fillId="0" borderId="32" xfId="0" applyNumberFormat="1" applyFont="1" applyFill="1" applyBorder="1" applyAlignment="1">
      <alignment/>
    </xf>
    <xf numFmtId="43" fontId="16" fillId="0" borderId="31" xfId="45" applyFont="1" applyFill="1" applyBorder="1" applyAlignment="1">
      <alignment/>
    </xf>
    <xf numFmtId="43" fontId="16" fillId="0" borderId="21" xfId="45" applyNumberFormat="1" applyFont="1" applyFill="1" applyBorder="1" applyAlignment="1">
      <alignment/>
    </xf>
    <xf numFmtId="1" fontId="16" fillId="0" borderId="13" xfId="0" applyNumberFormat="1" applyFont="1" applyFill="1" applyBorder="1" applyAlignment="1">
      <alignment/>
    </xf>
    <xf numFmtId="1" fontId="16" fillId="0" borderId="41" xfId="0" applyNumberFormat="1" applyFont="1" applyFill="1" applyBorder="1" applyAlignment="1">
      <alignment/>
    </xf>
    <xf numFmtId="174" fontId="16" fillId="0" borderId="10" xfId="53" applyNumberFormat="1" applyFont="1" applyFill="1" applyBorder="1" applyAlignment="1">
      <alignment/>
    </xf>
    <xf numFmtId="43" fontId="16" fillId="0" borderId="10" xfId="53" applyNumberFormat="1" applyFont="1" applyFill="1" applyBorder="1" applyAlignment="1">
      <alignment/>
    </xf>
    <xf numFmtId="3" fontId="16" fillId="0" borderId="13" xfId="0" applyNumberFormat="1" applyFont="1" applyBorder="1" applyAlignment="1">
      <alignment horizontal="center" wrapText="1"/>
    </xf>
    <xf numFmtId="10" fontId="16" fillId="0" borderId="42" xfId="53" applyNumberFormat="1" applyFont="1" applyFill="1" applyBorder="1" applyAlignment="1">
      <alignment/>
    </xf>
    <xf numFmtId="10" fontId="16" fillId="0" borderId="53" xfId="53" applyNumberFormat="1" applyFont="1" applyFill="1" applyBorder="1" applyAlignment="1">
      <alignment/>
    </xf>
    <xf numFmtId="1" fontId="16" fillId="0" borderId="53" xfId="0" applyNumberFormat="1" applyFont="1" applyBorder="1" applyAlignment="1">
      <alignment/>
    </xf>
    <xf numFmtId="1" fontId="16" fillId="0" borderId="53" xfId="0" applyNumberFormat="1" applyFont="1" applyFill="1" applyBorder="1" applyAlignment="1">
      <alignment/>
    </xf>
    <xf numFmtId="3" fontId="16" fillId="0" borderId="41" xfId="0" applyNumberFormat="1" applyFont="1" applyBorder="1" applyAlignment="1">
      <alignment horizontal="center" wrapText="1"/>
    </xf>
    <xf numFmtId="43" fontId="16" fillId="0" borderId="41" xfId="45" applyFont="1" applyBorder="1" applyAlignment="1">
      <alignment/>
    </xf>
    <xf numFmtId="174" fontId="8" fillId="0" borderId="27" xfId="45" applyNumberFormat="1" applyFont="1" applyFill="1" applyBorder="1" applyAlignment="1">
      <alignment horizontal="center"/>
    </xf>
    <xf numFmtId="9" fontId="8" fillId="0" borderId="17" xfId="53" applyFont="1" applyFill="1" applyBorder="1" applyAlignment="1">
      <alignment horizontal="center"/>
    </xf>
    <xf numFmtId="174" fontId="16" fillId="0" borderId="10" xfId="53" applyNumberFormat="1" applyFont="1" applyBorder="1" applyAlignment="1">
      <alignment/>
    </xf>
    <xf numFmtId="10" fontId="16" fillId="8" borderId="10" xfId="53" applyNumberFormat="1" applyFont="1" applyFill="1" applyBorder="1" applyAlignment="1">
      <alignment/>
    </xf>
    <xf numFmtId="43" fontId="7" fillId="44" borderId="24" xfId="45" applyFont="1" applyFill="1" applyBorder="1" applyAlignment="1">
      <alignment/>
    </xf>
    <xf numFmtId="0" fontId="65" fillId="45" borderId="0" xfId="0" applyFont="1" applyFill="1" applyAlignment="1">
      <alignment/>
    </xf>
    <xf numFmtId="0" fontId="7" fillId="0" borderId="56" xfId="0" applyNumberFormat="1" applyFont="1" applyFill="1" applyBorder="1" applyAlignment="1">
      <alignment wrapText="1"/>
    </xf>
    <xf numFmtId="2" fontId="16" fillId="0" borderId="10" xfId="46" applyNumberFormat="1" applyFont="1" applyBorder="1" applyAlignment="1">
      <alignment/>
    </xf>
    <xf numFmtId="0" fontId="7" fillId="0" borderId="24" xfId="0" applyFont="1" applyBorder="1" applyAlignment="1">
      <alignment/>
    </xf>
    <xf numFmtId="0" fontId="0" fillId="43" borderId="0" xfId="0" applyFill="1" applyBorder="1" applyAlignment="1">
      <alignment/>
    </xf>
    <xf numFmtId="3" fontId="0" fillId="43" borderId="0" xfId="0" applyNumberFormat="1" applyFont="1" applyFill="1" applyBorder="1" applyAlignment="1">
      <alignment horizontal="center" wrapText="1"/>
    </xf>
    <xf numFmtId="0" fontId="20" fillId="43" borderId="0" xfId="0" applyFont="1" applyFill="1" applyBorder="1" applyAlignment="1">
      <alignment horizontal="left"/>
    </xf>
    <xf numFmtId="0" fontId="0" fillId="43" borderId="0" xfId="0" applyFill="1" applyAlignment="1">
      <alignment/>
    </xf>
    <xf numFmtId="43" fontId="0" fillId="43" borderId="0" xfId="0" applyNumberFormat="1" applyFill="1" applyAlignment="1">
      <alignment/>
    </xf>
    <xf numFmtId="43" fontId="0" fillId="43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15" fillId="35" borderId="0" xfId="0" applyFont="1" applyFill="1" applyAlignment="1">
      <alignment horizontal="center" vertical="center" wrapText="1"/>
    </xf>
    <xf numFmtId="0" fontId="5" fillId="33" borderId="49" xfId="0" applyFont="1" applyFill="1" applyBorder="1" applyAlignment="1">
      <alignment horizontal="center"/>
    </xf>
    <xf numFmtId="0" fontId="5" fillId="33" borderId="57" xfId="0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0" fontId="5" fillId="46" borderId="18" xfId="0" applyFont="1" applyFill="1" applyBorder="1" applyAlignment="1">
      <alignment horizontal="center"/>
    </xf>
    <xf numFmtId="0" fontId="5" fillId="46" borderId="22" xfId="0" applyFont="1" applyFill="1" applyBorder="1" applyAlignment="1">
      <alignment horizontal="center"/>
    </xf>
    <xf numFmtId="0" fontId="3" fillId="35" borderId="0" xfId="0" applyFont="1" applyFill="1" applyAlignment="1">
      <alignment horizontal="center" wrapText="1"/>
    </xf>
    <xf numFmtId="0" fontId="4" fillId="35" borderId="58" xfId="0" applyNumberFormat="1" applyFont="1" applyFill="1" applyBorder="1" applyAlignment="1">
      <alignment horizontal="center" vertical="center"/>
    </xf>
    <xf numFmtId="0" fontId="4" fillId="35" borderId="20" xfId="0" applyNumberFormat="1" applyFont="1" applyFill="1" applyBorder="1" applyAlignment="1">
      <alignment horizontal="center" vertical="center"/>
    </xf>
    <xf numFmtId="0" fontId="4" fillId="35" borderId="59" xfId="0" applyNumberFormat="1" applyFont="1" applyFill="1" applyBorder="1" applyAlignment="1">
      <alignment horizontal="center" vertical="center"/>
    </xf>
    <xf numFmtId="0" fontId="4" fillId="35" borderId="60" xfId="0" applyNumberFormat="1" applyFont="1" applyFill="1" applyBorder="1" applyAlignment="1">
      <alignment horizontal="center" vertical="center"/>
    </xf>
    <xf numFmtId="0" fontId="4" fillId="35" borderId="53" xfId="0" applyNumberFormat="1" applyFont="1" applyFill="1" applyBorder="1" applyAlignment="1">
      <alignment horizontal="center" vertical="center"/>
    </xf>
    <xf numFmtId="0" fontId="4" fillId="35" borderId="61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 wrapText="1"/>
    </xf>
    <xf numFmtId="43" fontId="7" fillId="0" borderId="48" xfId="45" applyFont="1" applyBorder="1" applyAlignment="1">
      <alignment horizontal="center"/>
    </xf>
    <xf numFmtId="43" fontId="7" fillId="0" borderId="56" xfId="45" applyFont="1" applyBorder="1" applyAlignment="1">
      <alignment horizontal="center"/>
    </xf>
    <xf numFmtId="43" fontId="7" fillId="0" borderId="46" xfId="45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left"/>
    </xf>
    <xf numFmtId="0" fontId="5" fillId="33" borderId="22" xfId="0" applyFont="1" applyFill="1" applyBorder="1" applyAlignment="1">
      <alignment horizontal="left"/>
    </xf>
    <xf numFmtId="0" fontId="6" fillId="35" borderId="0" xfId="0" applyFont="1" applyFill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3" fontId="7" fillId="38" borderId="48" xfId="45" applyFont="1" applyFill="1" applyBorder="1" applyAlignment="1">
      <alignment horizontal="center"/>
    </xf>
    <xf numFmtId="43" fontId="7" fillId="38" borderId="56" xfId="45" applyFont="1" applyFill="1" applyBorder="1" applyAlignment="1">
      <alignment horizontal="center"/>
    </xf>
    <xf numFmtId="43" fontId="7" fillId="38" borderId="46" xfId="45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43" fontId="7" fillId="0" borderId="24" xfId="45" applyFont="1" applyBorder="1" applyAlignment="1">
      <alignment horizontal="center"/>
    </xf>
    <xf numFmtId="43" fontId="7" fillId="0" borderId="24" xfId="45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4" fillId="35" borderId="17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3" fillId="35" borderId="62" xfId="0" applyFont="1" applyFill="1" applyBorder="1" applyAlignment="1">
      <alignment horizontal="center" wrapText="1"/>
    </xf>
    <xf numFmtId="0" fontId="3" fillId="35" borderId="19" xfId="0" applyFont="1" applyFill="1" applyBorder="1" applyAlignment="1">
      <alignment horizontal="center" wrapText="1"/>
    </xf>
    <xf numFmtId="0" fontId="3" fillId="35" borderId="63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2" fillId="35" borderId="0" xfId="0" applyFont="1" applyFill="1" applyAlignment="1">
      <alignment horizontal="center"/>
    </xf>
    <xf numFmtId="0" fontId="6" fillId="35" borderId="0" xfId="0" applyNumberFormat="1" applyFont="1" applyFill="1" applyAlignment="1">
      <alignment horizontal="center" vertical="center" wrapText="1"/>
    </xf>
    <xf numFmtId="4" fontId="7" fillId="0" borderId="48" xfId="0" applyNumberFormat="1" applyFont="1" applyFill="1" applyBorder="1" applyAlignment="1">
      <alignment horizontal="center"/>
    </xf>
    <xf numFmtId="4" fontId="7" fillId="0" borderId="46" xfId="0" applyNumberFormat="1" applyFont="1" applyFill="1" applyBorder="1" applyAlignment="1">
      <alignment horizontal="center"/>
    </xf>
    <xf numFmtId="43" fontId="0" fillId="34" borderId="17" xfId="48" applyFont="1" applyFill="1" applyBorder="1" applyAlignment="1">
      <alignment horizontal="center"/>
    </xf>
    <xf numFmtId="43" fontId="0" fillId="34" borderId="22" xfId="48" applyFont="1" applyFill="1" applyBorder="1" applyAlignment="1">
      <alignment horizontal="center"/>
    </xf>
    <xf numFmtId="43" fontId="0" fillId="34" borderId="17" xfId="0" applyNumberForma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43" fontId="1" fillId="37" borderId="17" xfId="0" applyNumberFormat="1" applyFont="1" applyFill="1" applyBorder="1" applyAlignment="1">
      <alignment horizontal="center"/>
    </xf>
    <xf numFmtId="43" fontId="1" fillId="37" borderId="18" xfId="0" applyNumberFormat="1" applyFont="1" applyFill="1" applyBorder="1" applyAlignment="1">
      <alignment horizontal="center"/>
    </xf>
    <xf numFmtId="43" fontId="1" fillId="37" borderId="22" xfId="0" applyNumberFormat="1" applyFont="1" applyFill="1" applyBorder="1" applyAlignment="1">
      <alignment horizontal="center"/>
    </xf>
    <xf numFmtId="43" fontId="1" fillId="0" borderId="17" xfId="48" applyFont="1" applyFill="1" applyBorder="1" applyAlignment="1">
      <alignment horizontal="center"/>
    </xf>
    <xf numFmtId="43" fontId="1" fillId="0" borderId="18" xfId="48" applyFont="1" applyFill="1" applyBorder="1" applyAlignment="1">
      <alignment horizontal="center"/>
    </xf>
    <xf numFmtId="43" fontId="1" fillId="0" borderId="22" xfId="48" applyFont="1" applyFill="1" applyBorder="1" applyAlignment="1">
      <alignment horizontal="center"/>
    </xf>
    <xf numFmtId="43" fontId="1" fillId="46" borderId="17" xfId="48" applyFont="1" applyFill="1" applyBorder="1" applyAlignment="1">
      <alignment horizontal="center" vertical="center" wrapText="1"/>
    </xf>
    <xf numFmtId="43" fontId="1" fillId="46" borderId="22" xfId="48" applyFont="1" applyFill="1" applyBorder="1" applyAlignment="1">
      <alignment horizontal="center" vertical="center" wrapText="1"/>
    </xf>
    <xf numFmtId="43" fontId="0" fillId="34" borderId="17" xfId="0" applyNumberFormat="1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43" fontId="1" fillId="0" borderId="17" xfId="0" applyNumberFormat="1" applyFont="1" applyFill="1" applyBorder="1" applyAlignment="1">
      <alignment horizontal="center"/>
    </xf>
    <xf numFmtId="43" fontId="1" fillId="0" borderId="18" xfId="0" applyNumberFormat="1" applyFont="1" applyFill="1" applyBorder="1" applyAlignment="1">
      <alignment horizontal="center"/>
    </xf>
    <xf numFmtId="43" fontId="1" fillId="0" borderId="2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43" fontId="1" fillId="33" borderId="17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43" fontId="1" fillId="0" borderId="17" xfId="48" applyFont="1" applyFill="1" applyBorder="1" applyAlignment="1">
      <alignment horizontal="center" vertical="center" wrapText="1"/>
    </xf>
    <xf numFmtId="43" fontId="1" fillId="0" borderId="18" xfId="48" applyFont="1" applyFill="1" applyBorder="1" applyAlignment="1">
      <alignment horizontal="center" vertical="center" wrapText="1"/>
    </xf>
    <xf numFmtId="43" fontId="1" fillId="0" borderId="22" xfId="48" applyFont="1" applyFill="1" applyBorder="1" applyAlignment="1">
      <alignment horizontal="center" vertical="center" wrapText="1"/>
    </xf>
    <xf numFmtId="43" fontId="1" fillId="37" borderId="17" xfId="48" applyFont="1" applyFill="1" applyBorder="1" applyAlignment="1">
      <alignment horizontal="left" vertical="center" wrapText="1"/>
    </xf>
    <xf numFmtId="43" fontId="1" fillId="37" borderId="18" xfId="48" applyFont="1" applyFill="1" applyBorder="1" applyAlignment="1">
      <alignment horizontal="left" vertical="center" wrapText="1"/>
    </xf>
    <xf numFmtId="43" fontId="1" fillId="37" borderId="22" xfId="48" applyFont="1" applyFill="1" applyBorder="1" applyAlignment="1">
      <alignment horizontal="left" vertical="center" wrapText="1"/>
    </xf>
    <xf numFmtId="43" fontId="1" fillId="37" borderId="17" xfId="48" applyFont="1" applyFill="1" applyBorder="1" applyAlignment="1">
      <alignment horizontal="center" vertical="center" wrapText="1"/>
    </xf>
    <xf numFmtId="43" fontId="1" fillId="37" borderId="18" xfId="48" applyFont="1" applyFill="1" applyBorder="1" applyAlignment="1">
      <alignment horizontal="center" vertical="center" wrapText="1"/>
    </xf>
    <xf numFmtId="43" fontId="1" fillId="37" borderId="22" xfId="48" applyFont="1" applyFill="1" applyBorder="1" applyAlignment="1">
      <alignment horizontal="center" vertical="center" wrapText="1"/>
    </xf>
    <xf numFmtId="43" fontId="1" fillId="0" borderId="17" xfId="0" applyNumberFormat="1" applyFont="1" applyFill="1" applyBorder="1" applyAlignment="1">
      <alignment horizontal="center" vertical="center" wrapText="1"/>
    </xf>
    <xf numFmtId="43" fontId="1" fillId="0" borderId="18" xfId="0" applyNumberFormat="1" applyFont="1" applyFill="1" applyBorder="1" applyAlignment="1">
      <alignment horizontal="center" vertical="center" wrapText="1"/>
    </xf>
    <xf numFmtId="43" fontId="1" fillId="0" borderId="22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43" fontId="1" fillId="37" borderId="17" xfId="0" applyNumberFormat="1" applyFont="1" applyFill="1" applyBorder="1" applyAlignment="1">
      <alignment horizontal="center" vertical="center" wrapText="1"/>
    </xf>
    <xf numFmtId="43" fontId="1" fillId="37" borderId="18" xfId="0" applyNumberFormat="1" applyFont="1" applyFill="1" applyBorder="1" applyAlignment="1">
      <alignment horizontal="center" vertical="center" wrapText="1"/>
    </xf>
    <xf numFmtId="43" fontId="1" fillId="37" borderId="22" xfId="0" applyNumberFormat="1" applyFont="1" applyFill="1" applyBorder="1" applyAlignment="1">
      <alignment horizontal="center" vertical="center" wrapText="1"/>
    </xf>
    <xf numFmtId="43" fontId="1" fillId="33" borderId="18" xfId="0" applyNumberFormat="1" applyFont="1" applyFill="1" applyBorder="1" applyAlignment="1">
      <alignment horizontal="center" vertical="center" wrapText="1"/>
    </xf>
    <xf numFmtId="43" fontId="1" fillId="33" borderId="22" xfId="0" applyNumberFormat="1" applyFont="1" applyFill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 wrapText="1"/>
    </xf>
    <xf numFmtId="0" fontId="1" fillId="37" borderId="2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46" borderId="17" xfId="0" applyFont="1" applyFill="1" applyBorder="1" applyAlignment="1">
      <alignment horizontal="center" vertical="center" wrapText="1"/>
    </xf>
    <xf numFmtId="0" fontId="1" fillId="46" borderId="22" xfId="0" applyFont="1" applyFill="1" applyBorder="1" applyAlignment="1">
      <alignment horizontal="center" vertical="center" wrapText="1"/>
    </xf>
    <xf numFmtId="171" fontId="1" fillId="33" borderId="17" xfId="47" applyNumberFormat="1" applyFont="1" applyFill="1" applyBorder="1" applyAlignment="1">
      <alignment horizontal="right" vertical="center" wrapText="1"/>
    </xf>
    <xf numFmtId="171" fontId="1" fillId="33" borderId="18" xfId="47" applyNumberFormat="1" applyFont="1" applyFill="1" applyBorder="1" applyAlignment="1">
      <alignment horizontal="right" vertical="center" wrapText="1"/>
    </xf>
    <xf numFmtId="171" fontId="1" fillId="33" borderId="22" xfId="47" applyNumberFormat="1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0" borderId="17" xfId="45" applyFont="1" applyFill="1" applyBorder="1" applyAlignment="1">
      <alignment horizontal="center"/>
    </xf>
    <xf numFmtId="43" fontId="1" fillId="0" borderId="18" xfId="45" applyFont="1" applyFill="1" applyBorder="1" applyAlignment="1">
      <alignment horizontal="center"/>
    </xf>
    <xf numFmtId="43" fontId="1" fillId="0" borderId="22" xfId="45" applyFont="1" applyFill="1" applyBorder="1" applyAlignment="1">
      <alignment horizontal="center"/>
    </xf>
    <xf numFmtId="43" fontId="1" fillId="0" borderId="17" xfId="45" applyFont="1" applyFill="1" applyBorder="1" applyAlignment="1">
      <alignment horizontal="center" vertical="center" wrapText="1"/>
    </xf>
    <xf numFmtId="43" fontId="1" fillId="0" borderId="18" xfId="45" applyFont="1" applyFill="1" applyBorder="1" applyAlignment="1">
      <alignment horizontal="center" vertical="center" wrapText="1"/>
    </xf>
    <xf numFmtId="43" fontId="1" fillId="0" borderId="22" xfId="45" applyFont="1" applyFill="1" applyBorder="1" applyAlignment="1">
      <alignment horizontal="center" vertical="center" wrapText="1"/>
    </xf>
    <xf numFmtId="43" fontId="1" fillId="37" borderId="17" xfId="45" applyFont="1" applyFill="1" applyBorder="1" applyAlignment="1">
      <alignment horizontal="center" vertical="center" wrapText="1"/>
    </xf>
    <xf numFmtId="43" fontId="1" fillId="37" borderId="18" xfId="45" applyFont="1" applyFill="1" applyBorder="1" applyAlignment="1">
      <alignment horizontal="center" vertical="center" wrapText="1"/>
    </xf>
    <xf numFmtId="43" fontId="1" fillId="37" borderId="22" xfId="45" applyFont="1" applyFill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right" vertical="center" wrapText="1"/>
    </xf>
    <xf numFmtId="0" fontId="1" fillId="37" borderId="18" xfId="0" applyFont="1" applyFill="1" applyBorder="1" applyAlignment="1">
      <alignment horizontal="right" vertical="center" wrapText="1"/>
    </xf>
    <xf numFmtId="0" fontId="1" fillId="37" borderId="22" xfId="0" applyFont="1" applyFill="1" applyBorder="1" applyAlignment="1">
      <alignment horizontal="right" vertical="center" wrapText="1"/>
    </xf>
    <xf numFmtId="171" fontId="1" fillId="33" borderId="17" xfId="46" applyNumberFormat="1" applyFont="1" applyFill="1" applyBorder="1" applyAlignment="1">
      <alignment horizontal="right" vertical="center" wrapText="1"/>
    </xf>
    <xf numFmtId="171" fontId="1" fillId="33" borderId="18" xfId="46" applyNumberFormat="1" applyFont="1" applyFill="1" applyBorder="1" applyAlignment="1">
      <alignment horizontal="right" vertical="center" wrapText="1"/>
    </xf>
    <xf numFmtId="171" fontId="1" fillId="33" borderId="22" xfId="46" applyNumberFormat="1" applyFont="1" applyFill="1" applyBorder="1" applyAlignment="1">
      <alignment horizontal="right" vertical="center" wrapText="1"/>
    </xf>
    <xf numFmtId="0" fontId="0" fillId="34" borderId="18" xfId="0" applyFill="1" applyBorder="1" applyAlignment="1">
      <alignment horizontal="center"/>
    </xf>
    <xf numFmtId="43" fontId="0" fillId="34" borderId="17" xfId="45" applyFont="1" applyFill="1" applyBorder="1" applyAlignment="1">
      <alignment horizontal="center"/>
    </xf>
    <xf numFmtId="43" fontId="0" fillId="34" borderId="22" xfId="45" applyFont="1" applyFill="1" applyBorder="1" applyAlignment="1">
      <alignment horizontal="center"/>
    </xf>
    <xf numFmtId="43" fontId="1" fillId="37" borderId="17" xfId="45" applyFont="1" applyFill="1" applyBorder="1" applyAlignment="1">
      <alignment horizontal="left" vertical="center" wrapText="1"/>
    </xf>
    <xf numFmtId="43" fontId="1" fillId="37" borderId="18" xfId="45" applyFont="1" applyFill="1" applyBorder="1" applyAlignment="1">
      <alignment horizontal="left" vertical="center" wrapText="1"/>
    </xf>
    <xf numFmtId="43" fontId="1" fillId="37" borderId="22" xfId="45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3" fontId="1" fillId="46" borderId="17" xfId="45" applyFont="1" applyFill="1" applyBorder="1" applyAlignment="1">
      <alignment horizontal="center" vertical="center" wrapText="1"/>
    </xf>
    <xf numFmtId="43" fontId="1" fillId="46" borderId="22" xfId="45" applyFont="1" applyFill="1" applyBorder="1" applyAlignment="1">
      <alignment horizontal="center" vertical="center"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 2" xfId="47"/>
    <cellStyle name="Migliaia 2" xfId="48"/>
    <cellStyle name="Neutrale" xfId="49"/>
    <cellStyle name="Normale 2" xfId="50"/>
    <cellStyle name="Nota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  <cellStyle name="Valuta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0</xdr:rowOff>
    </xdr:from>
    <xdr:to>
      <xdr:col>5</xdr:col>
      <xdr:colOff>333375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17049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152400</xdr:colOff>
      <xdr:row>15</xdr:row>
      <xdr:rowOff>9525</xdr:rowOff>
    </xdr:from>
    <xdr:to>
      <xdr:col>34</xdr:col>
      <xdr:colOff>209550</xdr:colOff>
      <xdr:row>24</xdr:row>
      <xdr:rowOff>28575</xdr:rowOff>
    </xdr:to>
    <xdr:sp>
      <xdr:nvSpPr>
        <xdr:cNvPr id="1" name="Connettore 1 2"/>
        <xdr:cNvSpPr>
          <a:spLocks/>
        </xdr:cNvSpPr>
      </xdr:nvSpPr>
      <xdr:spPr>
        <a:xfrm rot="16200000" flipH="1">
          <a:off x="25136475" y="3295650"/>
          <a:ext cx="571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Ciceri\Documenti\sercop\sercop\businnes%20plan%202008\FINALE%202008\budget%20servizi%20trasferiti%205.4.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Carolo\Impostazioni%20locali\Temporary%20Internet%20Files\Content.Outlook\4QIV9FJ9\BUDGET%20CONSORZIO%202009%20-%2017%20dicemb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polaz, casi"/>
      <sheetName val="organici 2002"/>
      <sheetName val="costo comunità"/>
      <sheetName val="riepilogo"/>
      <sheetName val="entrate"/>
    </sheetNames>
    <sheetDataSet>
      <sheetData sheetId="4">
        <row r="16">
          <cell r="D16">
            <v>1530827.8059637782</v>
          </cell>
        </row>
        <row r="17">
          <cell r="D17">
            <v>70536.2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-CE"/>
      <sheetName val="CE GENERALE"/>
      <sheetName val="FR-UDP"/>
      <sheetName val="UDP"/>
      <sheetName val="CE-UDP"/>
      <sheetName val="FRTRASPORTI"/>
      <sheetName val="TRASPORTI"/>
      <sheetName val="CE-TRASPORTI"/>
      <sheetName val="FR-NIL"/>
      <sheetName val="NIL"/>
      <sheetName val="CE-NIL"/>
      <sheetName val="FR- BADANTI"/>
      <sheetName val="BADANTI"/>
      <sheetName val="CE-BADANTI"/>
      <sheetName val="FR-migramondo"/>
      <sheetName val="sprt stranieri"/>
      <sheetName val="sport stranieri"/>
      <sheetName val="FR-ADM"/>
      <sheetName val="EQ-ADM"/>
      <sheetName val="CE-ADM"/>
      <sheetName val="FR-TM"/>
      <sheetName val="EQ-TM"/>
      <sheetName val="spazio neutro"/>
      <sheetName val="AFFIDI"/>
      <sheetName val="CE-TM"/>
      <sheetName val="FR SAD"/>
      <sheetName val="EQ SAD"/>
      <sheetName val="CE SAD"/>
      <sheetName val="SERV SOC PROF"/>
      <sheetName val="CE SERSOCPROF"/>
      <sheetName val="FR-INV"/>
      <sheetName val="INVEST"/>
      <sheetName val="INV LOG "/>
      <sheetName val="FR-AMM"/>
      <sheetName val="fz-amm"/>
      <sheetName val="FR-CS-GEN"/>
      <sheetName val="ONERI CENT"/>
      <sheetName val="CE ONERI CENT"/>
      <sheetName val="FR-riparto"/>
      <sheetName val="RIPARTO"/>
    </sheetNames>
    <sheetDataSet>
      <sheetData sheetId="19">
        <row r="8">
          <cell r="E8">
            <v>100000</v>
          </cell>
        </row>
      </sheetData>
      <sheetData sheetId="24">
        <row r="12">
          <cell r="E12">
            <v>200000</v>
          </cell>
        </row>
      </sheetData>
      <sheetData sheetId="39">
        <row r="4">
          <cell r="AU4">
            <v>100000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J23"/>
  <sheetViews>
    <sheetView tabSelected="1" workbookViewId="0" topLeftCell="A1">
      <selection activeCell="P14" sqref="P14"/>
    </sheetView>
  </sheetViews>
  <sheetFormatPr defaultColWidth="9.140625" defaultRowHeight="12.75"/>
  <sheetData>
    <row r="9" spans="1:9" ht="128.25" customHeight="1">
      <c r="A9" s="455" t="s">
        <v>274</v>
      </c>
      <c r="B9" s="455"/>
      <c r="C9" s="455"/>
      <c r="D9" s="455"/>
      <c r="E9" s="455"/>
      <c r="F9" s="455"/>
      <c r="G9" s="455"/>
      <c r="H9" s="455"/>
      <c r="I9" s="455"/>
    </row>
    <row r="18" ht="12.75">
      <c r="A18" s="295" t="s">
        <v>227</v>
      </c>
    </row>
    <row r="23" spans="1:10" ht="12.75">
      <c r="A23" s="105"/>
      <c r="B23" s="105"/>
      <c r="C23" s="105"/>
      <c r="D23" s="105"/>
      <c r="E23" s="105"/>
      <c r="F23" s="105"/>
      <c r="G23" s="105"/>
      <c r="H23" s="105"/>
      <c r="I23" s="105"/>
      <c r="J23" s="105"/>
    </row>
  </sheetData>
  <sheetProtection/>
  <mergeCells count="1">
    <mergeCell ref="A9:I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6"/>
  <sheetViews>
    <sheetView zoomScale="75" zoomScaleNormal="75" zoomScalePageLayoutView="0" workbookViewId="0" topLeftCell="A8">
      <selection activeCell="E39" sqref="E39"/>
    </sheetView>
  </sheetViews>
  <sheetFormatPr defaultColWidth="9.140625" defaultRowHeight="12.75"/>
  <cols>
    <col min="1" max="1" width="19.57421875" style="0" customWidth="1"/>
    <col min="2" max="2" width="9.28125" style="0" customWidth="1"/>
    <col min="3" max="3" width="12.8515625" style="0" customWidth="1"/>
    <col min="4" max="4" width="18.140625" style="0" customWidth="1"/>
    <col min="5" max="5" width="16.57421875" style="0" bestFit="1" customWidth="1"/>
    <col min="6" max="6" width="12.8515625" style="7" customWidth="1"/>
    <col min="8" max="8" width="10.28125" style="0" customWidth="1"/>
  </cols>
  <sheetData>
    <row r="2" spans="1:6" ht="50.25" customHeight="1">
      <c r="A2" s="477" t="s">
        <v>176</v>
      </c>
      <c r="B2" s="477"/>
      <c r="C2" s="477"/>
      <c r="D2" s="477"/>
      <c r="E2" s="477"/>
      <c r="F2" s="477"/>
    </row>
    <row r="3" spans="1:6" ht="12.75">
      <c r="A3" s="8"/>
      <c r="B3" s="8"/>
      <c r="C3" s="8"/>
      <c r="D3" s="8"/>
      <c r="E3" s="8"/>
      <c r="F3" s="226"/>
    </row>
    <row r="4" ht="13.5" thickBot="1"/>
    <row r="5" spans="1:6" ht="16.5" thickBot="1">
      <c r="A5" s="474" t="s">
        <v>11</v>
      </c>
      <c r="B5" s="475"/>
      <c r="C5" s="475"/>
      <c r="D5" s="476"/>
      <c r="E5" s="478" t="s">
        <v>167</v>
      </c>
      <c r="F5" s="479"/>
    </row>
    <row r="6" spans="1:6" ht="12.75">
      <c r="A6" s="9"/>
      <c r="B6" s="10"/>
      <c r="C6" s="10"/>
      <c r="D6" s="10"/>
      <c r="E6" s="18"/>
      <c r="F6" s="227"/>
    </row>
    <row r="7" spans="1:6" ht="12.75">
      <c r="A7" s="25" t="s">
        <v>110</v>
      </c>
      <c r="B7" s="10"/>
      <c r="C7" s="10"/>
      <c r="D7" s="10"/>
      <c r="E7" s="11"/>
      <c r="F7" s="228"/>
    </row>
    <row r="8" spans="1:6" ht="12.75">
      <c r="A8" s="9"/>
      <c r="B8" s="10"/>
      <c r="C8" s="32" t="s">
        <v>91</v>
      </c>
      <c r="D8" s="33"/>
      <c r="E8" s="34"/>
      <c r="F8" s="229" t="e">
        <f>E8/$E$29</f>
        <v>#REF!</v>
      </c>
    </row>
    <row r="9" spans="1:6" ht="12.75">
      <c r="A9" s="9"/>
      <c r="B9" s="10"/>
      <c r="C9" s="30" t="s">
        <v>92</v>
      </c>
      <c r="D9" s="26"/>
      <c r="E9" s="35" t="e">
        <f>BADANTI!#REF!-'CE-MEDIAZIONE F'!E10</f>
        <v>#REF!</v>
      </c>
      <c r="F9" s="230" t="e">
        <f>E9/2</f>
        <v>#REF!</v>
      </c>
    </row>
    <row r="10" spans="1:6" ht="12.75">
      <c r="A10" s="9"/>
      <c r="B10" s="10"/>
      <c r="C10" s="30" t="s">
        <v>111</v>
      </c>
      <c r="D10" s="26"/>
      <c r="E10" s="35">
        <v>15000</v>
      </c>
      <c r="F10" s="230">
        <f aca="true" t="shared" si="0" ref="F10:F39">E10/2</f>
        <v>7500</v>
      </c>
    </row>
    <row r="11" spans="1:6" ht="12.75">
      <c r="A11" s="9"/>
      <c r="B11" s="10"/>
      <c r="C11" s="22"/>
      <c r="D11" s="10"/>
      <c r="E11" s="36"/>
      <c r="F11" s="230">
        <f t="shared" si="0"/>
        <v>0</v>
      </c>
    </row>
    <row r="12" spans="1:6" ht="13.5" thickBot="1">
      <c r="A12" s="9"/>
      <c r="B12" s="10"/>
      <c r="C12" s="17" t="s">
        <v>5</v>
      </c>
      <c r="D12" s="16"/>
      <c r="E12" s="19" t="e">
        <f>SUM(E8:E11)</f>
        <v>#REF!</v>
      </c>
      <c r="F12" s="230" t="e">
        <f t="shared" si="0"/>
        <v>#REF!</v>
      </c>
    </row>
    <row r="13" spans="1:6" ht="13.5" thickTop="1">
      <c r="A13" s="9"/>
      <c r="B13" s="10"/>
      <c r="C13" s="10"/>
      <c r="D13" s="10"/>
      <c r="E13" s="11"/>
      <c r="F13" s="230">
        <f t="shared" si="0"/>
        <v>0</v>
      </c>
    </row>
    <row r="14" spans="1:6" ht="12.75">
      <c r="A14" s="25" t="s">
        <v>13</v>
      </c>
      <c r="B14" s="10"/>
      <c r="C14" s="10"/>
      <c r="D14" s="10"/>
      <c r="E14" s="11"/>
      <c r="F14" s="230">
        <f t="shared" si="0"/>
        <v>0</v>
      </c>
    </row>
    <row r="15" spans="1:6" ht="12.75">
      <c r="A15" s="9"/>
      <c r="B15" s="10"/>
      <c r="C15" s="473" t="s">
        <v>93</v>
      </c>
      <c r="D15" s="473"/>
      <c r="E15" s="11"/>
      <c r="F15" s="230">
        <f t="shared" si="0"/>
        <v>0</v>
      </c>
    </row>
    <row r="16" spans="1:6" ht="12.75">
      <c r="A16" s="9"/>
      <c r="B16" s="10"/>
      <c r="C16" s="472" t="s">
        <v>12</v>
      </c>
      <c r="D16" s="472"/>
      <c r="E16" s="42"/>
      <c r="F16" s="230">
        <f t="shared" si="0"/>
        <v>0</v>
      </c>
    </row>
    <row r="17" spans="1:6" ht="13.5" thickBot="1">
      <c r="A17" s="9"/>
      <c r="B17" s="10"/>
      <c r="C17" s="15" t="s">
        <v>5</v>
      </c>
      <c r="D17" s="15"/>
      <c r="E17" s="19"/>
      <c r="F17" s="230">
        <f t="shared" si="0"/>
        <v>0</v>
      </c>
    </row>
    <row r="18" spans="1:6" ht="13.5" thickTop="1">
      <c r="A18" s="9"/>
      <c r="B18" s="10"/>
      <c r="C18" s="10"/>
      <c r="D18" s="10"/>
      <c r="E18" s="11"/>
      <c r="F18" s="230">
        <f t="shared" si="0"/>
        <v>0</v>
      </c>
    </row>
    <row r="19" spans="1:6" ht="12.75">
      <c r="A19" s="25" t="s">
        <v>21</v>
      </c>
      <c r="B19" s="10"/>
      <c r="C19" s="10"/>
      <c r="D19" s="10"/>
      <c r="E19" s="11"/>
      <c r="F19" s="230">
        <f t="shared" si="0"/>
        <v>0</v>
      </c>
    </row>
    <row r="20" spans="1:6" ht="12.75">
      <c r="A20" s="9"/>
      <c r="B20" s="10"/>
      <c r="C20" s="473" t="s">
        <v>12</v>
      </c>
      <c r="D20" s="473"/>
      <c r="E20" s="11"/>
      <c r="F20" s="230">
        <f t="shared" si="0"/>
        <v>0</v>
      </c>
    </row>
    <row r="21" spans="1:6" ht="13.5" thickBot="1">
      <c r="A21" s="9"/>
      <c r="B21" s="10"/>
      <c r="C21" s="15" t="s">
        <v>5</v>
      </c>
      <c r="D21" s="15"/>
      <c r="E21" s="91"/>
      <c r="F21" s="230">
        <f t="shared" si="0"/>
        <v>0</v>
      </c>
    </row>
    <row r="22" spans="1:6" ht="13.5" thickTop="1">
      <c r="A22" s="9"/>
      <c r="B22" s="10"/>
      <c r="C22" s="10"/>
      <c r="D22" s="10"/>
      <c r="E22" s="11"/>
      <c r="F22" s="230">
        <f t="shared" si="0"/>
        <v>0</v>
      </c>
    </row>
    <row r="23" spans="1:10" ht="12.75">
      <c r="A23" s="25"/>
      <c r="B23" s="69"/>
      <c r="C23" s="69"/>
      <c r="D23" s="69"/>
      <c r="E23" s="150"/>
      <c r="F23" s="230">
        <f t="shared" si="0"/>
        <v>0</v>
      </c>
      <c r="G23" s="105"/>
      <c r="H23" s="105"/>
      <c r="I23" s="105"/>
      <c r="J23" s="105"/>
    </row>
    <row r="24" spans="1:6" ht="12.75">
      <c r="A24" s="25"/>
      <c r="B24" s="10"/>
      <c r="C24" s="22" t="s">
        <v>94</v>
      </c>
      <c r="D24" s="10"/>
      <c r="E24" s="11"/>
      <c r="F24" s="230">
        <f t="shared" si="0"/>
        <v>0</v>
      </c>
    </row>
    <row r="25" spans="1:6" ht="12.75">
      <c r="A25" s="9"/>
      <c r="B25" s="10"/>
      <c r="C25" s="22" t="s">
        <v>15</v>
      </c>
      <c r="D25" s="10"/>
      <c r="E25" s="11"/>
      <c r="F25" s="230">
        <f t="shared" si="0"/>
        <v>0</v>
      </c>
    </row>
    <row r="26" spans="1:6" ht="12.75">
      <c r="A26" s="9"/>
      <c r="B26" s="10"/>
      <c r="C26" s="22" t="s">
        <v>17</v>
      </c>
      <c r="D26" s="10"/>
      <c r="E26" s="11"/>
      <c r="F26" s="230">
        <f t="shared" si="0"/>
        <v>0</v>
      </c>
    </row>
    <row r="27" spans="1:6" ht="13.5" thickBot="1">
      <c r="A27" s="9"/>
      <c r="B27" s="10"/>
      <c r="C27" s="17" t="s">
        <v>5</v>
      </c>
      <c r="D27" s="16"/>
      <c r="E27" s="20"/>
      <c r="F27" s="230">
        <f t="shared" si="0"/>
        <v>0</v>
      </c>
    </row>
    <row r="28" spans="1:6" ht="13.5" thickTop="1">
      <c r="A28" s="9"/>
      <c r="B28" s="10"/>
      <c r="C28" s="10"/>
      <c r="D28" s="10"/>
      <c r="E28" s="11"/>
      <c r="F28" s="230">
        <f t="shared" si="0"/>
        <v>0</v>
      </c>
    </row>
    <row r="29" spans="1:6" ht="13.5" thickBot="1">
      <c r="A29" s="9"/>
      <c r="B29" s="10"/>
      <c r="C29" s="17" t="s">
        <v>16</v>
      </c>
      <c r="D29" s="16"/>
      <c r="E29" s="92" t="e">
        <f>E27+E21+E17+E12</f>
        <v>#REF!</v>
      </c>
      <c r="F29" s="230" t="e">
        <f t="shared" si="0"/>
        <v>#REF!</v>
      </c>
    </row>
    <row r="30" spans="1:6" ht="13.5" thickTop="1">
      <c r="A30" s="9"/>
      <c r="B30" s="10"/>
      <c r="C30" s="22"/>
      <c r="D30" s="10"/>
      <c r="E30" s="93"/>
      <c r="F30" s="230">
        <f t="shared" si="0"/>
        <v>0</v>
      </c>
    </row>
    <row r="31" spans="1:6" ht="12.75">
      <c r="A31" s="9"/>
      <c r="B31" s="10"/>
      <c r="C31" s="22"/>
      <c r="D31" s="10"/>
      <c r="E31" s="93"/>
      <c r="F31" s="230">
        <f t="shared" si="0"/>
        <v>0</v>
      </c>
    </row>
    <row r="32" spans="1:6" ht="13.5" thickBot="1">
      <c r="A32" s="9"/>
      <c r="B32" s="10"/>
      <c r="C32" s="10"/>
      <c r="D32" s="10"/>
      <c r="E32" s="11"/>
      <c r="F32" s="230">
        <f t="shared" si="0"/>
        <v>0</v>
      </c>
    </row>
    <row r="33" spans="1:6" ht="16.5" thickBot="1">
      <c r="A33" s="474" t="s">
        <v>18</v>
      </c>
      <c r="B33" s="475"/>
      <c r="C33" s="475"/>
      <c r="D33" s="476"/>
      <c r="E33" s="11"/>
      <c r="F33" s="230">
        <f t="shared" si="0"/>
        <v>0</v>
      </c>
    </row>
    <row r="34" spans="1:6" ht="12.75">
      <c r="A34" s="9"/>
      <c r="B34" s="10"/>
      <c r="C34" s="10"/>
      <c r="D34" s="10"/>
      <c r="E34" s="11"/>
      <c r="F34" s="230">
        <f t="shared" si="0"/>
        <v>0</v>
      </c>
    </row>
    <row r="35" spans="1:6" ht="12.75">
      <c r="A35" s="9"/>
      <c r="B35" s="10"/>
      <c r="C35" s="22" t="s">
        <v>37</v>
      </c>
      <c r="D35" s="10"/>
      <c r="E35" s="94"/>
      <c r="F35" s="230">
        <f t="shared" si="0"/>
        <v>0</v>
      </c>
    </row>
    <row r="36" spans="1:6" ht="12.75">
      <c r="A36" s="9"/>
      <c r="B36" s="10"/>
      <c r="C36" s="22" t="s">
        <v>19</v>
      </c>
      <c r="D36" s="10"/>
      <c r="E36" s="93" t="e">
        <f>BADANTI!#REF!</f>
        <v>#REF!</v>
      </c>
      <c r="F36" s="230" t="e">
        <f t="shared" si="0"/>
        <v>#REF!</v>
      </c>
    </row>
    <row r="37" spans="1:6" ht="12.75">
      <c r="A37" s="9"/>
      <c r="B37" s="10"/>
      <c r="C37" s="22" t="s">
        <v>38</v>
      </c>
      <c r="D37" s="10"/>
      <c r="E37" s="93"/>
      <c r="F37" s="230">
        <f t="shared" si="0"/>
        <v>0</v>
      </c>
    </row>
    <row r="38" spans="1:6" ht="12.75">
      <c r="A38" s="9"/>
      <c r="B38" s="10"/>
      <c r="C38" s="22"/>
      <c r="D38" s="10"/>
      <c r="E38" s="93"/>
      <c r="F38" s="230">
        <f t="shared" si="0"/>
        <v>0</v>
      </c>
    </row>
    <row r="39" spans="1:6" ht="13.5" thickBot="1">
      <c r="A39" s="9"/>
      <c r="B39" s="10"/>
      <c r="C39" s="17" t="s">
        <v>6</v>
      </c>
      <c r="D39" s="16"/>
      <c r="E39" s="92" t="e">
        <f>SUM(E35:E38)</f>
        <v>#REF!</v>
      </c>
      <c r="F39" s="230" t="e">
        <f t="shared" si="0"/>
        <v>#REF!</v>
      </c>
    </row>
    <row r="40" spans="1:6" ht="14.25" thickBot="1" thickTop="1">
      <c r="A40" s="9"/>
      <c r="B40" s="10"/>
      <c r="C40" s="10"/>
      <c r="D40" s="10"/>
      <c r="E40" s="11"/>
      <c r="F40" s="228"/>
    </row>
    <row r="41" spans="1:6" ht="16.5" thickBot="1">
      <c r="A41" s="23" t="s">
        <v>20</v>
      </c>
      <c r="B41" s="24"/>
      <c r="C41" s="24"/>
      <c r="D41" s="24"/>
      <c r="E41" s="14" t="e">
        <f>E29-E39</f>
        <v>#REF!</v>
      </c>
      <c r="F41" s="235"/>
    </row>
    <row r="44" spans="1:6" ht="12.75">
      <c r="A44" s="27"/>
      <c r="B44" s="27"/>
      <c r="C44" s="27"/>
      <c r="D44" s="27"/>
      <c r="E44" s="27"/>
      <c r="F44" s="236"/>
    </row>
    <row r="45" ht="12.75" hidden="1">
      <c r="A45" t="s">
        <v>39</v>
      </c>
    </row>
    <row r="46" ht="12.75" hidden="1">
      <c r="A46" t="s">
        <v>40</v>
      </c>
    </row>
  </sheetData>
  <sheetProtection/>
  <mergeCells count="7">
    <mergeCell ref="C16:D16"/>
    <mergeCell ref="C20:D20"/>
    <mergeCell ref="A33:D33"/>
    <mergeCell ref="A2:F2"/>
    <mergeCell ref="A5:D5"/>
    <mergeCell ref="E5:F5"/>
    <mergeCell ref="C15:D1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="75" zoomScaleNormal="75" zoomScalePageLayoutView="0" workbookViewId="0" topLeftCell="A1">
      <selection activeCell="C14" sqref="C14"/>
    </sheetView>
  </sheetViews>
  <sheetFormatPr defaultColWidth="9.140625" defaultRowHeight="12.75"/>
  <cols>
    <col min="1" max="1" width="32.7109375" style="0" bestFit="1" customWidth="1"/>
    <col min="2" max="2" width="18.7109375" style="0" customWidth="1"/>
    <col min="3" max="3" width="19.8515625" style="0" customWidth="1"/>
    <col min="4" max="4" width="18.7109375" style="0" customWidth="1"/>
  </cols>
  <sheetData>
    <row r="1" spans="1:4" ht="12.75" customHeight="1">
      <c r="A1" s="468" t="s">
        <v>246</v>
      </c>
      <c r="B1" s="468"/>
      <c r="C1" s="468"/>
      <c r="D1" s="468"/>
    </row>
    <row r="2" spans="1:4" ht="12.75" customHeight="1">
      <c r="A2" s="468"/>
      <c r="B2" s="468"/>
      <c r="C2" s="468"/>
      <c r="D2" s="468"/>
    </row>
    <row r="3" spans="1:4" s="43" customFormat="1" ht="26.25" customHeight="1">
      <c r="A3" s="468"/>
      <c r="B3" s="468"/>
      <c r="C3" s="468"/>
      <c r="D3" s="468"/>
    </row>
    <row r="4" s="43" customFormat="1" ht="26.25">
      <c r="A4" s="44"/>
    </row>
    <row r="5" spans="1:2" s="43" customFormat="1" ht="26.25">
      <c r="A5" s="44"/>
      <c r="B5" s="88"/>
    </row>
    <row r="6" spans="1:4" ht="12.75" customHeight="1">
      <c r="A6" s="462" t="s">
        <v>238</v>
      </c>
      <c r="B6" s="463"/>
      <c r="C6" s="463"/>
      <c r="D6" s="464"/>
    </row>
    <row r="7" spans="1:4" ht="13.5" customHeight="1">
      <c r="A7" s="465"/>
      <c r="B7" s="466"/>
      <c r="C7" s="466"/>
      <c r="D7" s="467"/>
    </row>
    <row r="8" spans="1:4" ht="47.25">
      <c r="A8" s="209"/>
      <c r="B8" s="269" t="s">
        <v>239</v>
      </c>
      <c r="C8" s="269" t="s">
        <v>240</v>
      </c>
      <c r="D8" s="211" t="s">
        <v>208</v>
      </c>
    </row>
    <row r="9" spans="1:4" ht="15.75">
      <c r="A9" s="86" t="s">
        <v>1</v>
      </c>
      <c r="B9" s="253">
        <v>31122</v>
      </c>
      <c r="C9" s="480">
        <v>63168</v>
      </c>
      <c r="D9" s="480">
        <f>B12-C9</f>
        <v>0</v>
      </c>
    </row>
    <row r="10" spans="1:4" ht="17.25" customHeight="1">
      <c r="A10" s="86" t="s">
        <v>152</v>
      </c>
      <c r="B10" s="253">
        <v>27846.000000000004</v>
      </c>
      <c r="C10" s="481"/>
      <c r="D10" s="481"/>
    </row>
    <row r="11" spans="1:4" ht="17.25" customHeight="1">
      <c r="A11" s="213" t="s">
        <v>191</v>
      </c>
      <c r="B11" s="253">
        <v>4200</v>
      </c>
      <c r="C11" s="481"/>
      <c r="D11" s="481"/>
    </row>
    <row r="12" spans="1:4" ht="17.25" customHeight="1">
      <c r="A12" s="86" t="s">
        <v>0</v>
      </c>
      <c r="B12" s="253">
        <v>63168</v>
      </c>
      <c r="C12" s="482"/>
      <c r="D12" s="482"/>
    </row>
    <row r="13" spans="1:4" s="10" customFormat="1" ht="17.25" customHeight="1">
      <c r="A13" s="86"/>
      <c r="B13" s="254"/>
      <c r="C13" s="253"/>
      <c r="D13" s="253"/>
    </row>
    <row r="14" spans="1:4" ht="15.75">
      <c r="A14" s="86" t="s">
        <v>66</v>
      </c>
      <c r="B14" s="253">
        <v>5000</v>
      </c>
      <c r="C14" s="253">
        <v>5000</v>
      </c>
      <c r="D14" s="253">
        <f>B14-C14</f>
        <v>0</v>
      </c>
    </row>
    <row r="15" spans="1:4" ht="15.75">
      <c r="A15" s="86" t="s">
        <v>0</v>
      </c>
      <c r="B15" s="255">
        <f>B12+B14</f>
        <v>68168</v>
      </c>
      <c r="C15" s="255">
        <f>C14+C9</f>
        <v>68168</v>
      </c>
      <c r="D15" s="255">
        <f>B15-C15</f>
        <v>0</v>
      </c>
    </row>
    <row r="16" ht="15">
      <c r="A16" s="6"/>
    </row>
    <row r="17" ht="15">
      <c r="A17" s="89"/>
    </row>
    <row r="18" ht="15">
      <c r="A18" s="89"/>
    </row>
    <row r="26" spans="1:5" ht="12.75">
      <c r="A26" s="105"/>
      <c r="B26" s="105"/>
      <c r="C26" s="105"/>
      <c r="D26" s="105"/>
      <c r="E26" s="105"/>
    </row>
  </sheetData>
  <sheetProtection/>
  <mergeCells count="4">
    <mergeCell ref="A1:D3"/>
    <mergeCell ref="A6:D7"/>
    <mergeCell ref="C9:C12"/>
    <mergeCell ref="D9:D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6"/>
  <sheetViews>
    <sheetView zoomScale="75" zoomScaleNormal="75" zoomScalePageLayoutView="0" workbookViewId="0" topLeftCell="A8">
      <selection activeCell="E39" sqref="E39"/>
    </sheetView>
  </sheetViews>
  <sheetFormatPr defaultColWidth="9.140625" defaultRowHeight="12.75"/>
  <cols>
    <col min="1" max="1" width="19.57421875" style="0" customWidth="1"/>
    <col min="2" max="2" width="9.28125" style="0" customWidth="1"/>
    <col min="3" max="3" width="12.8515625" style="0" customWidth="1"/>
    <col min="4" max="4" width="18.140625" style="0" customWidth="1"/>
    <col min="5" max="5" width="16.57421875" style="0" bestFit="1" customWidth="1"/>
    <col min="6" max="6" width="12.8515625" style="7" customWidth="1"/>
    <col min="8" max="8" width="10.28125" style="0" customWidth="1"/>
  </cols>
  <sheetData>
    <row r="2" spans="1:6" ht="50.25" customHeight="1">
      <c r="A2" s="477" t="s">
        <v>170</v>
      </c>
      <c r="B2" s="477"/>
      <c r="C2" s="477"/>
      <c r="D2" s="477"/>
      <c r="E2" s="477"/>
      <c r="F2" s="477"/>
    </row>
    <row r="3" spans="1:6" ht="12.75">
      <c r="A3" s="8"/>
      <c r="B3" s="8"/>
      <c r="C3" s="8"/>
      <c r="D3" s="8"/>
      <c r="E3" s="8"/>
      <c r="F3" s="226"/>
    </row>
    <row r="4" ht="13.5" thickBot="1"/>
    <row r="5" spans="1:6" ht="16.5" thickBot="1">
      <c r="A5" s="474" t="s">
        <v>11</v>
      </c>
      <c r="B5" s="475"/>
      <c r="C5" s="475"/>
      <c r="D5" s="476"/>
      <c r="E5" s="478" t="s">
        <v>167</v>
      </c>
      <c r="F5" s="479"/>
    </row>
    <row r="6" spans="1:6" ht="12.75">
      <c r="A6" s="9"/>
      <c r="B6" s="10"/>
      <c r="C6" s="10"/>
      <c r="D6" s="10"/>
      <c r="E6" s="18"/>
      <c r="F6" s="227"/>
    </row>
    <row r="7" spans="1:6" ht="12.75">
      <c r="A7" s="25" t="s">
        <v>110</v>
      </c>
      <c r="B7" s="10"/>
      <c r="C7" s="10"/>
      <c r="D7" s="10"/>
      <c r="E7" s="11"/>
      <c r="F7" s="228"/>
    </row>
    <row r="8" spans="1:6" ht="12.75">
      <c r="A8" s="9"/>
      <c r="B8" s="10"/>
      <c r="C8" s="32" t="s">
        <v>91</v>
      </c>
      <c r="D8" s="33"/>
      <c r="E8" s="34"/>
      <c r="F8" s="229"/>
    </row>
    <row r="9" spans="1:6" ht="12.75">
      <c r="A9" s="9"/>
      <c r="B9" s="10"/>
      <c r="C9" s="30" t="s">
        <v>92</v>
      </c>
      <c r="D9" s="26"/>
      <c r="E9" s="35" t="e">
        <f>E39-E10</f>
        <v>#REF!</v>
      </c>
      <c r="F9" s="230" t="e">
        <f>E9/2</f>
        <v>#REF!</v>
      </c>
    </row>
    <row r="10" spans="1:6" ht="12.75">
      <c r="A10" s="9"/>
      <c r="B10" s="10"/>
      <c r="C10" s="30" t="s">
        <v>111</v>
      </c>
      <c r="D10" s="26"/>
      <c r="E10" s="35">
        <v>35000</v>
      </c>
      <c r="F10" s="230">
        <f aca="true" t="shared" si="0" ref="F10:F42">E10/2</f>
        <v>17500</v>
      </c>
    </row>
    <row r="11" spans="1:6" ht="12.75">
      <c r="A11" s="9"/>
      <c r="B11" s="10"/>
      <c r="C11" s="22"/>
      <c r="D11" s="10"/>
      <c r="E11" s="36"/>
      <c r="F11" s="230">
        <f t="shared" si="0"/>
        <v>0</v>
      </c>
    </row>
    <row r="12" spans="1:6" ht="13.5" thickBot="1">
      <c r="A12" s="9"/>
      <c r="B12" s="10"/>
      <c r="C12" s="17" t="s">
        <v>5</v>
      </c>
      <c r="D12" s="16"/>
      <c r="E12" s="19" t="e">
        <f>SUM(E8:E11)</f>
        <v>#REF!</v>
      </c>
      <c r="F12" s="230" t="e">
        <f t="shared" si="0"/>
        <v>#REF!</v>
      </c>
    </row>
    <row r="13" spans="1:6" ht="13.5" thickTop="1">
      <c r="A13" s="9"/>
      <c r="B13" s="10"/>
      <c r="C13" s="10"/>
      <c r="D13" s="10"/>
      <c r="E13" s="11"/>
      <c r="F13" s="230">
        <f t="shared" si="0"/>
        <v>0</v>
      </c>
    </row>
    <row r="14" spans="1:6" ht="12.75">
      <c r="A14" s="25" t="s">
        <v>13</v>
      </c>
      <c r="B14" s="10"/>
      <c r="C14" s="10"/>
      <c r="D14" s="10"/>
      <c r="E14" s="11"/>
      <c r="F14" s="230">
        <f t="shared" si="0"/>
        <v>0</v>
      </c>
    </row>
    <row r="15" spans="1:6" ht="12.75">
      <c r="A15" s="9"/>
      <c r="B15" s="10"/>
      <c r="C15" s="473" t="s">
        <v>93</v>
      </c>
      <c r="D15" s="473"/>
      <c r="E15" s="11"/>
      <c r="F15" s="230">
        <f t="shared" si="0"/>
        <v>0</v>
      </c>
    </row>
    <row r="16" spans="1:6" ht="12.75">
      <c r="A16" s="9"/>
      <c r="B16" s="10"/>
      <c r="C16" s="472" t="s">
        <v>12</v>
      </c>
      <c r="D16" s="472"/>
      <c r="E16" s="42"/>
      <c r="F16" s="230">
        <f t="shared" si="0"/>
        <v>0</v>
      </c>
    </row>
    <row r="17" spans="1:6" ht="13.5" thickBot="1">
      <c r="A17" s="9"/>
      <c r="B17" s="10"/>
      <c r="C17" s="15" t="s">
        <v>5</v>
      </c>
      <c r="D17" s="15"/>
      <c r="E17" s="19"/>
      <c r="F17" s="230">
        <f t="shared" si="0"/>
        <v>0</v>
      </c>
    </row>
    <row r="18" spans="1:6" ht="13.5" thickTop="1">
      <c r="A18" s="9"/>
      <c r="B18" s="10"/>
      <c r="C18" s="10"/>
      <c r="D18" s="10"/>
      <c r="E18" s="11"/>
      <c r="F18" s="230">
        <f t="shared" si="0"/>
        <v>0</v>
      </c>
    </row>
    <row r="19" spans="1:6" ht="12.75">
      <c r="A19" s="25" t="s">
        <v>21</v>
      </c>
      <c r="B19" s="10"/>
      <c r="C19" s="10"/>
      <c r="D19" s="10"/>
      <c r="E19" s="11"/>
      <c r="F19" s="230">
        <f t="shared" si="0"/>
        <v>0</v>
      </c>
    </row>
    <row r="20" spans="1:6" ht="12.75">
      <c r="A20" s="9"/>
      <c r="B20" s="10"/>
      <c r="C20" s="473" t="s">
        <v>12</v>
      </c>
      <c r="D20" s="473"/>
      <c r="E20" s="11"/>
      <c r="F20" s="230">
        <f t="shared" si="0"/>
        <v>0</v>
      </c>
    </row>
    <row r="21" spans="1:6" ht="13.5" thickBot="1">
      <c r="A21" s="9"/>
      <c r="B21" s="10"/>
      <c r="C21" s="15" t="s">
        <v>5</v>
      </c>
      <c r="D21" s="15"/>
      <c r="E21" s="91"/>
      <c r="F21" s="230">
        <f t="shared" si="0"/>
        <v>0</v>
      </c>
    </row>
    <row r="22" spans="1:6" ht="13.5" thickTop="1">
      <c r="A22" s="9"/>
      <c r="B22" s="10"/>
      <c r="C22" s="10"/>
      <c r="D22" s="10"/>
      <c r="E22" s="11"/>
      <c r="F22" s="230">
        <f t="shared" si="0"/>
        <v>0</v>
      </c>
    </row>
    <row r="23" spans="1:10" ht="12.75">
      <c r="A23" s="25"/>
      <c r="B23" s="69"/>
      <c r="C23" s="69"/>
      <c r="D23" s="69"/>
      <c r="E23" s="150"/>
      <c r="F23" s="230">
        <f t="shared" si="0"/>
        <v>0</v>
      </c>
      <c r="G23" s="105"/>
      <c r="H23" s="105"/>
      <c r="I23" s="105"/>
      <c r="J23" s="105"/>
    </row>
    <row r="24" spans="1:6" ht="12.75">
      <c r="A24" s="25"/>
      <c r="B24" s="10"/>
      <c r="C24" s="22" t="s">
        <v>94</v>
      </c>
      <c r="D24" s="10"/>
      <c r="E24" s="11"/>
      <c r="F24" s="230">
        <f t="shared" si="0"/>
        <v>0</v>
      </c>
    </row>
    <row r="25" spans="1:6" ht="12.75">
      <c r="A25" s="9"/>
      <c r="B25" s="10"/>
      <c r="C25" s="22" t="s">
        <v>15</v>
      </c>
      <c r="D25" s="10"/>
      <c r="E25" s="11"/>
      <c r="F25" s="230">
        <f t="shared" si="0"/>
        <v>0</v>
      </c>
    </row>
    <row r="26" spans="1:6" ht="12.75">
      <c r="A26" s="9"/>
      <c r="B26" s="10"/>
      <c r="C26" s="22" t="s">
        <v>17</v>
      </c>
      <c r="D26" s="10"/>
      <c r="E26" s="11"/>
      <c r="F26" s="230">
        <f t="shared" si="0"/>
        <v>0</v>
      </c>
    </row>
    <row r="27" spans="1:6" ht="13.5" thickBot="1">
      <c r="A27" s="9"/>
      <c r="B27" s="10"/>
      <c r="C27" s="17" t="s">
        <v>5</v>
      </c>
      <c r="D27" s="16"/>
      <c r="E27" s="20"/>
      <c r="F27" s="230">
        <f t="shared" si="0"/>
        <v>0</v>
      </c>
    </row>
    <row r="28" spans="1:6" ht="13.5" thickTop="1">
      <c r="A28" s="9"/>
      <c r="B28" s="10"/>
      <c r="C28" s="10"/>
      <c r="D28" s="10"/>
      <c r="E28" s="11"/>
      <c r="F28" s="230">
        <f t="shared" si="0"/>
        <v>0</v>
      </c>
    </row>
    <row r="29" spans="1:6" ht="13.5" thickBot="1">
      <c r="A29" s="9"/>
      <c r="B29" s="10"/>
      <c r="C29" s="17" t="s">
        <v>16</v>
      </c>
      <c r="D29" s="16"/>
      <c r="E29" s="92" t="e">
        <f>E27+E21+E17+E12</f>
        <v>#REF!</v>
      </c>
      <c r="F29" s="230" t="e">
        <f t="shared" si="0"/>
        <v>#REF!</v>
      </c>
    </row>
    <row r="30" spans="1:6" ht="13.5" thickTop="1">
      <c r="A30" s="9"/>
      <c r="B30" s="10"/>
      <c r="C30" s="22"/>
      <c r="D30" s="10"/>
      <c r="E30" s="93"/>
      <c r="F30" s="230">
        <f t="shared" si="0"/>
        <v>0</v>
      </c>
    </row>
    <row r="31" spans="1:6" ht="12.75">
      <c r="A31" s="9"/>
      <c r="B31" s="10"/>
      <c r="C31" s="22"/>
      <c r="D31" s="10"/>
      <c r="E31" s="93"/>
      <c r="F31" s="230">
        <f t="shared" si="0"/>
        <v>0</v>
      </c>
    </row>
    <row r="32" spans="1:6" ht="13.5" thickBot="1">
      <c r="A32" s="9"/>
      <c r="B32" s="10"/>
      <c r="C32" s="10"/>
      <c r="D32" s="10"/>
      <c r="E32" s="11"/>
      <c r="F32" s="230">
        <f t="shared" si="0"/>
        <v>0</v>
      </c>
    </row>
    <row r="33" spans="1:6" ht="16.5" thickBot="1">
      <c r="A33" s="474" t="s">
        <v>18</v>
      </c>
      <c r="B33" s="475"/>
      <c r="C33" s="475"/>
      <c r="D33" s="476"/>
      <c r="E33" s="11"/>
      <c r="F33" s="230">
        <f t="shared" si="0"/>
        <v>0</v>
      </c>
    </row>
    <row r="34" spans="1:6" ht="12.75">
      <c r="A34" s="9"/>
      <c r="B34" s="10"/>
      <c r="C34" s="10"/>
      <c r="D34" s="10"/>
      <c r="E34" s="11"/>
      <c r="F34" s="230">
        <f t="shared" si="0"/>
        <v>0</v>
      </c>
    </row>
    <row r="35" spans="1:6" ht="12.75">
      <c r="A35" s="9"/>
      <c r="B35" s="10"/>
      <c r="C35" s="22" t="s">
        <v>37</v>
      </c>
      <c r="D35" s="10"/>
      <c r="E35" s="94"/>
      <c r="F35" s="230">
        <f t="shared" si="0"/>
        <v>0</v>
      </c>
    </row>
    <row r="36" spans="1:6" ht="12.75">
      <c r="A36" s="9"/>
      <c r="B36" s="10"/>
      <c r="C36" s="22" t="s">
        <v>19</v>
      </c>
      <c r="D36" s="10"/>
      <c r="E36" s="93" t="e">
        <f>migramondo!#REF!</f>
        <v>#REF!</v>
      </c>
      <c r="F36" s="230" t="e">
        <f t="shared" si="0"/>
        <v>#REF!</v>
      </c>
    </row>
    <row r="37" spans="1:6" ht="12.75">
      <c r="A37" s="9"/>
      <c r="B37" s="10"/>
      <c r="C37" s="22" t="s">
        <v>38</v>
      </c>
      <c r="D37" s="10"/>
      <c r="E37" s="93" t="e">
        <f>migramondo!#REF!</f>
        <v>#REF!</v>
      </c>
      <c r="F37" s="230" t="e">
        <f t="shared" si="0"/>
        <v>#REF!</v>
      </c>
    </row>
    <row r="38" spans="1:6" ht="12.75">
      <c r="A38" s="9"/>
      <c r="B38" s="10"/>
      <c r="C38" s="22"/>
      <c r="D38" s="10"/>
      <c r="E38" s="93"/>
      <c r="F38" s="230">
        <f t="shared" si="0"/>
        <v>0</v>
      </c>
    </row>
    <row r="39" spans="1:6" ht="13.5" thickBot="1">
      <c r="A39" s="9"/>
      <c r="B39" s="10"/>
      <c r="C39" s="17" t="s">
        <v>6</v>
      </c>
      <c r="D39" s="16"/>
      <c r="E39" s="92" t="e">
        <f>SUM(E35:E38)</f>
        <v>#REF!</v>
      </c>
      <c r="F39" s="230" t="e">
        <f t="shared" si="0"/>
        <v>#REF!</v>
      </c>
    </row>
    <row r="40" spans="1:6" ht="14.25" thickBot="1" thickTop="1">
      <c r="A40" s="9"/>
      <c r="B40" s="10"/>
      <c r="C40" s="10"/>
      <c r="D40" s="10"/>
      <c r="E40" s="11"/>
      <c r="F40" s="230">
        <f t="shared" si="0"/>
        <v>0</v>
      </c>
    </row>
    <row r="41" spans="1:6" ht="16.5" thickBot="1">
      <c r="A41" s="23" t="s">
        <v>20</v>
      </c>
      <c r="B41" s="24"/>
      <c r="C41" s="24"/>
      <c r="D41" s="24"/>
      <c r="E41" s="14" t="e">
        <f>E29-E39</f>
        <v>#REF!</v>
      </c>
      <c r="F41" s="230" t="e">
        <f t="shared" si="0"/>
        <v>#REF!</v>
      </c>
    </row>
    <row r="42" ht="12.75">
      <c r="F42" s="230">
        <f t="shared" si="0"/>
        <v>0</v>
      </c>
    </row>
    <row r="44" spans="1:6" ht="12.75">
      <c r="A44" s="27"/>
      <c r="B44" s="27"/>
      <c r="C44" s="27"/>
      <c r="D44" s="27"/>
      <c r="E44" s="27"/>
      <c r="F44" s="236"/>
    </row>
    <row r="45" ht="12.75" hidden="1">
      <c r="A45" t="s">
        <v>39</v>
      </c>
    </row>
    <row r="46" ht="12.75" hidden="1">
      <c r="A46" t="s">
        <v>40</v>
      </c>
    </row>
  </sheetData>
  <sheetProtection/>
  <mergeCells count="7">
    <mergeCell ref="C16:D16"/>
    <mergeCell ref="C20:D20"/>
    <mergeCell ref="A33:D33"/>
    <mergeCell ref="A2:F2"/>
    <mergeCell ref="A5:D5"/>
    <mergeCell ref="E5:F5"/>
    <mergeCell ref="C15:D1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36.00390625" style="0" customWidth="1"/>
    <col min="2" max="2" width="18.7109375" style="0" customWidth="1"/>
    <col min="3" max="3" width="19.8515625" style="0" customWidth="1"/>
    <col min="4" max="4" width="18.7109375" style="0" customWidth="1"/>
    <col min="5" max="5" width="4.8515625" style="0" customWidth="1"/>
  </cols>
  <sheetData>
    <row r="1" spans="1:4" ht="12.75" customHeight="1">
      <c r="A1" s="468" t="s">
        <v>247</v>
      </c>
      <c r="B1" s="468"/>
      <c r="C1" s="468"/>
      <c r="D1" s="468"/>
    </row>
    <row r="2" spans="1:4" ht="12.75" customHeight="1">
      <c r="A2" s="468"/>
      <c r="B2" s="468"/>
      <c r="C2" s="468"/>
      <c r="D2" s="468"/>
    </row>
    <row r="3" spans="1:4" s="43" customFormat="1" ht="26.25" customHeight="1">
      <c r="A3" s="468"/>
      <c r="B3" s="468"/>
      <c r="C3" s="468"/>
      <c r="D3" s="468"/>
    </row>
    <row r="4" s="43" customFormat="1" ht="26.25">
      <c r="A4" s="44"/>
    </row>
    <row r="5" spans="1:2" s="43" customFormat="1" ht="26.25">
      <c r="A5" s="44"/>
      <c r="B5" s="88"/>
    </row>
    <row r="6" spans="1:4" ht="12.75" customHeight="1">
      <c r="A6" s="462" t="s">
        <v>238</v>
      </c>
      <c r="B6" s="463"/>
      <c r="C6" s="463"/>
      <c r="D6" s="464"/>
    </row>
    <row r="7" spans="1:4" ht="13.5" customHeight="1">
      <c r="A7" s="465"/>
      <c r="B7" s="466"/>
      <c r="C7" s="466"/>
      <c r="D7" s="467"/>
    </row>
    <row r="8" spans="1:4" ht="47.25">
      <c r="A8" s="209"/>
      <c r="B8" s="269" t="s">
        <v>239</v>
      </c>
      <c r="C8" s="269" t="s">
        <v>240</v>
      </c>
      <c r="D8" s="211" t="s">
        <v>208</v>
      </c>
    </row>
    <row r="9" spans="1:4" ht="16.5" customHeight="1">
      <c r="A9" s="86" t="s">
        <v>143</v>
      </c>
      <c r="B9" s="244">
        <v>32996.233492</v>
      </c>
      <c r="C9" s="244">
        <f>22986/8*12</f>
        <v>34479</v>
      </c>
      <c r="D9" s="244">
        <f>B9-C9</f>
        <v>-1482.7665080000006</v>
      </c>
    </row>
    <row r="10" spans="1:4" ht="16.5" customHeight="1">
      <c r="A10" s="86" t="s">
        <v>2</v>
      </c>
      <c r="B10" s="244">
        <v>748312.5</v>
      </c>
      <c r="C10" s="424">
        <f>RIPARTO!T17*19.5</f>
        <v>727720.5</v>
      </c>
      <c r="D10" s="244">
        <f>B10-C10</f>
        <v>20592</v>
      </c>
    </row>
    <row r="11" spans="1:4" ht="16.5" customHeight="1">
      <c r="A11" s="86" t="s">
        <v>273</v>
      </c>
      <c r="B11" s="443">
        <f>22161/8*12</f>
        <v>33241.5</v>
      </c>
      <c r="C11" s="424">
        <f>22161/8*12</f>
        <v>33241.5</v>
      </c>
      <c r="D11" s="244"/>
    </row>
    <row r="12" spans="1:4" ht="18" customHeight="1">
      <c r="A12" s="86" t="s">
        <v>254</v>
      </c>
      <c r="B12" s="244">
        <v>10500</v>
      </c>
      <c r="C12" s="244">
        <v>10500</v>
      </c>
      <c r="D12" s="244">
        <f>B12-C12</f>
        <v>0</v>
      </c>
    </row>
    <row r="13" spans="1:4" ht="15.75">
      <c r="A13" s="86" t="s">
        <v>3</v>
      </c>
      <c r="B13" s="244">
        <v>4620</v>
      </c>
      <c r="C13" s="244"/>
      <c r="D13" s="244">
        <f>B13-C13</f>
        <v>4620</v>
      </c>
    </row>
    <row r="14" spans="1:4" ht="15.75">
      <c r="A14" s="214" t="s">
        <v>0</v>
      </c>
      <c r="B14" s="245">
        <f>SUM(B9:B13)</f>
        <v>829670.233492</v>
      </c>
      <c r="C14" s="245">
        <f>SUM(C9:C13)</f>
        <v>805941</v>
      </c>
      <c r="D14" s="245">
        <f>B14-C14</f>
        <v>23729.23349200003</v>
      </c>
    </row>
    <row r="15" ht="15">
      <c r="A15" s="6"/>
    </row>
    <row r="16" ht="12.75">
      <c r="A16" s="264"/>
    </row>
    <row r="17" ht="15.75">
      <c r="A17" s="90"/>
    </row>
    <row r="18" spans="1:3" ht="15.75">
      <c r="A18" s="215"/>
      <c r="C18" s="7"/>
    </row>
    <row r="19" ht="12.75">
      <c r="A19" s="10"/>
    </row>
    <row r="20" ht="12.75">
      <c r="A20" s="10"/>
    </row>
    <row r="24" spans="1:5" ht="12.75">
      <c r="A24" s="105"/>
      <c r="B24" s="105"/>
      <c r="C24" s="105"/>
      <c r="D24" s="105"/>
      <c r="E24" s="105"/>
    </row>
  </sheetData>
  <sheetProtection/>
  <mergeCells count="2">
    <mergeCell ref="A6:D7"/>
    <mergeCell ref="A1:D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6"/>
  <sheetViews>
    <sheetView zoomScale="75" zoomScaleNormal="75" zoomScalePageLayoutView="0" workbookViewId="0" topLeftCell="A1">
      <selection activeCell="E39" sqref="E39"/>
    </sheetView>
  </sheetViews>
  <sheetFormatPr defaultColWidth="9.140625" defaultRowHeight="12.75"/>
  <cols>
    <col min="1" max="1" width="19.57421875" style="0" customWidth="1"/>
    <col min="2" max="2" width="9.28125" style="0" customWidth="1"/>
    <col min="3" max="3" width="12.8515625" style="0" customWidth="1"/>
    <col min="4" max="4" width="18.140625" style="0" customWidth="1"/>
    <col min="5" max="5" width="16.57421875" style="0" bestFit="1" customWidth="1"/>
    <col min="6" max="6" width="12.8515625" style="7" customWidth="1"/>
    <col min="8" max="8" width="10.28125" style="0" customWidth="1"/>
    <col min="9" max="9" width="10.28125" style="0" bestFit="1" customWidth="1"/>
  </cols>
  <sheetData>
    <row r="2" spans="1:6" ht="50.25" customHeight="1">
      <c r="A2" s="477" t="s">
        <v>171</v>
      </c>
      <c r="B2" s="477"/>
      <c r="C2" s="477"/>
      <c r="D2" s="477"/>
      <c r="E2" s="477"/>
      <c r="F2" s="477"/>
    </row>
    <row r="3" spans="1:6" ht="12.75">
      <c r="A3" s="8"/>
      <c r="B3" s="8"/>
      <c r="C3" s="8"/>
      <c r="D3" s="8"/>
      <c r="E3" s="8"/>
      <c r="F3" s="226"/>
    </row>
    <row r="4" ht="13.5" thickBot="1"/>
    <row r="5" spans="1:6" ht="16.5" thickBot="1">
      <c r="A5" s="474" t="s">
        <v>11</v>
      </c>
      <c r="B5" s="475"/>
      <c r="C5" s="475"/>
      <c r="D5" s="476"/>
      <c r="E5" s="478" t="s">
        <v>167</v>
      </c>
      <c r="F5" s="479"/>
    </row>
    <row r="6" spans="1:6" ht="12.75">
      <c r="A6" s="9"/>
      <c r="B6" s="10"/>
      <c r="C6" s="10"/>
      <c r="D6" s="10"/>
      <c r="E6" s="18"/>
      <c r="F6" s="227"/>
    </row>
    <row r="7" spans="1:6" ht="12.75">
      <c r="A7" s="25" t="s">
        <v>110</v>
      </c>
      <c r="B7" s="10"/>
      <c r="C7" s="10"/>
      <c r="D7" s="10"/>
      <c r="E7" s="11"/>
      <c r="F7" s="228"/>
    </row>
    <row r="8" spans="1:6" ht="12.75">
      <c r="A8" s="9"/>
      <c r="B8" s="10"/>
      <c r="C8" s="32" t="s">
        <v>91</v>
      </c>
      <c r="D8" s="33"/>
      <c r="E8" s="34">
        <v>87000</v>
      </c>
      <c r="F8" s="229">
        <f>E8/3</f>
        <v>29000</v>
      </c>
    </row>
    <row r="9" spans="1:6" ht="12.75">
      <c r="A9" s="9"/>
      <c r="B9" s="10"/>
      <c r="C9" s="30" t="s">
        <v>92</v>
      </c>
      <c r="D9" s="26"/>
      <c r="E9" s="35"/>
      <c r="F9" s="229">
        <f aca="true" t="shared" si="0" ref="F9:F41">E9/3</f>
        <v>0</v>
      </c>
    </row>
    <row r="10" spans="1:6" ht="12.75">
      <c r="A10" s="9"/>
      <c r="B10" s="10"/>
      <c r="C10" s="30" t="s">
        <v>111</v>
      </c>
      <c r="D10" s="26"/>
      <c r="E10" s="35"/>
      <c r="F10" s="229">
        <f t="shared" si="0"/>
        <v>0</v>
      </c>
    </row>
    <row r="11" spans="1:6" ht="12.75">
      <c r="A11" s="9"/>
      <c r="B11" s="10"/>
      <c r="C11" s="22"/>
      <c r="D11" s="10"/>
      <c r="E11" s="36"/>
      <c r="F11" s="229">
        <f t="shared" si="0"/>
        <v>0</v>
      </c>
    </row>
    <row r="12" spans="1:6" ht="13.5" thickBot="1">
      <c r="A12" s="9"/>
      <c r="B12" s="10"/>
      <c r="C12" s="17" t="s">
        <v>5</v>
      </c>
      <c r="D12" s="16"/>
      <c r="E12" s="19">
        <f>SUM(E8:E11)</f>
        <v>87000</v>
      </c>
      <c r="F12" s="229">
        <f t="shared" si="0"/>
        <v>29000</v>
      </c>
    </row>
    <row r="13" spans="1:6" ht="13.5" thickTop="1">
      <c r="A13" s="9"/>
      <c r="B13" s="10"/>
      <c r="C13" s="10"/>
      <c r="D13" s="10"/>
      <c r="E13" s="11"/>
      <c r="F13" s="229">
        <f t="shared" si="0"/>
        <v>0</v>
      </c>
    </row>
    <row r="14" spans="1:6" ht="12.75">
      <c r="A14" s="25" t="s">
        <v>13</v>
      </c>
      <c r="B14" s="10"/>
      <c r="C14" s="10"/>
      <c r="D14" s="10"/>
      <c r="E14" s="11"/>
      <c r="F14" s="229">
        <f t="shared" si="0"/>
        <v>0</v>
      </c>
    </row>
    <row r="15" spans="1:6" ht="12.75">
      <c r="A15" s="9"/>
      <c r="B15" s="10"/>
      <c r="C15" s="473" t="s">
        <v>93</v>
      </c>
      <c r="D15" s="473"/>
      <c r="E15" s="11"/>
      <c r="F15" s="229">
        <f t="shared" si="0"/>
        <v>0</v>
      </c>
    </row>
    <row r="16" spans="1:6" ht="12.75">
      <c r="A16" s="9"/>
      <c r="B16" s="10"/>
      <c r="C16" s="472" t="s">
        <v>12</v>
      </c>
      <c r="D16" s="472"/>
      <c r="E16" s="54">
        <f>RIPARTO!U19</f>
        <v>705941</v>
      </c>
      <c r="F16" s="229">
        <f t="shared" si="0"/>
        <v>235313.66666666666</v>
      </c>
    </row>
    <row r="17" spans="1:6" ht="13.5" thickBot="1">
      <c r="A17" s="9"/>
      <c r="B17" s="10"/>
      <c r="C17" s="15" t="s">
        <v>5</v>
      </c>
      <c r="D17" s="15"/>
      <c r="E17" s="19">
        <f>E16</f>
        <v>705941</v>
      </c>
      <c r="F17" s="229">
        <f t="shared" si="0"/>
        <v>235313.66666666666</v>
      </c>
    </row>
    <row r="18" spans="1:6" ht="13.5" thickTop="1">
      <c r="A18" s="9"/>
      <c r="B18" s="10"/>
      <c r="C18" s="10"/>
      <c r="D18" s="10"/>
      <c r="E18" s="11"/>
      <c r="F18" s="229">
        <f t="shared" si="0"/>
        <v>0</v>
      </c>
    </row>
    <row r="19" spans="1:6" ht="12.75">
      <c r="A19" s="25" t="s">
        <v>21</v>
      </c>
      <c r="B19" s="10"/>
      <c r="C19" s="10"/>
      <c r="D19" s="10"/>
      <c r="E19" s="11"/>
      <c r="F19" s="229">
        <f t="shared" si="0"/>
        <v>0</v>
      </c>
    </row>
    <row r="20" spans="1:6" ht="12.75">
      <c r="A20" s="9"/>
      <c r="B20" s="10"/>
      <c r="C20" s="473" t="s">
        <v>12</v>
      </c>
      <c r="D20" s="473"/>
      <c r="E20" s="11"/>
      <c r="F20" s="229">
        <f t="shared" si="0"/>
        <v>0</v>
      </c>
    </row>
    <row r="21" spans="1:6" ht="13.5" thickBot="1">
      <c r="A21" s="9"/>
      <c r="B21" s="10"/>
      <c r="C21" s="15" t="s">
        <v>5</v>
      </c>
      <c r="D21" s="15"/>
      <c r="E21" s="91"/>
      <c r="F21" s="229">
        <f t="shared" si="0"/>
        <v>0</v>
      </c>
    </row>
    <row r="22" spans="1:6" ht="13.5" thickTop="1">
      <c r="A22" s="9"/>
      <c r="B22" s="10"/>
      <c r="C22" s="10"/>
      <c r="D22" s="10"/>
      <c r="E22" s="11"/>
      <c r="F22" s="229">
        <f t="shared" si="0"/>
        <v>0</v>
      </c>
    </row>
    <row r="23" spans="1:10" ht="12.75">
      <c r="A23" s="25"/>
      <c r="B23" s="69"/>
      <c r="C23" s="69"/>
      <c r="D23" s="69"/>
      <c r="E23" s="150"/>
      <c r="F23" s="229">
        <f t="shared" si="0"/>
        <v>0</v>
      </c>
      <c r="G23" s="105"/>
      <c r="H23" s="105"/>
      <c r="I23" s="105"/>
      <c r="J23" s="105"/>
    </row>
    <row r="24" spans="1:6" ht="12.75">
      <c r="A24" s="25"/>
      <c r="B24" s="10"/>
      <c r="C24" s="22" t="s">
        <v>94</v>
      </c>
      <c r="D24" s="10"/>
      <c r="E24" s="11"/>
      <c r="F24" s="229">
        <f t="shared" si="0"/>
        <v>0</v>
      </c>
    </row>
    <row r="25" spans="1:6" ht="12.75">
      <c r="A25" s="9"/>
      <c r="B25" s="10"/>
      <c r="C25" s="22" t="s">
        <v>15</v>
      </c>
      <c r="D25" s="10"/>
      <c r="E25" s="11"/>
      <c r="F25" s="229">
        <f t="shared" si="0"/>
        <v>0</v>
      </c>
    </row>
    <row r="26" spans="1:6" ht="12.75">
      <c r="A26" s="9"/>
      <c r="B26" s="10"/>
      <c r="C26" s="22" t="s">
        <v>17</v>
      </c>
      <c r="D26" s="10"/>
      <c r="E26" s="11"/>
      <c r="F26" s="229">
        <f t="shared" si="0"/>
        <v>0</v>
      </c>
    </row>
    <row r="27" spans="1:6" ht="13.5" thickBot="1">
      <c r="A27" s="9"/>
      <c r="B27" s="10"/>
      <c r="C27" s="17" t="s">
        <v>5</v>
      </c>
      <c r="D27" s="16"/>
      <c r="E27" s="20"/>
      <c r="F27" s="229">
        <f t="shared" si="0"/>
        <v>0</v>
      </c>
    </row>
    <row r="28" spans="1:6" ht="13.5" thickTop="1">
      <c r="A28" s="9"/>
      <c r="B28" s="10"/>
      <c r="C28" s="10"/>
      <c r="D28" s="10"/>
      <c r="E28" s="11"/>
      <c r="F28" s="229">
        <f t="shared" si="0"/>
        <v>0</v>
      </c>
    </row>
    <row r="29" spans="1:6" ht="13.5" thickBot="1">
      <c r="A29" s="9"/>
      <c r="B29" s="10"/>
      <c r="C29" s="17" t="s">
        <v>16</v>
      </c>
      <c r="D29" s="16"/>
      <c r="E29" s="92">
        <f>E17+E27+E12</f>
        <v>792941</v>
      </c>
      <c r="F29" s="229">
        <f t="shared" si="0"/>
        <v>264313.6666666667</v>
      </c>
    </row>
    <row r="30" spans="1:6" ht="13.5" thickTop="1">
      <c r="A30" s="9"/>
      <c r="B30" s="10"/>
      <c r="C30" s="22"/>
      <c r="D30" s="10"/>
      <c r="E30" s="93"/>
      <c r="F30" s="229">
        <f t="shared" si="0"/>
        <v>0</v>
      </c>
    </row>
    <row r="31" spans="1:6" ht="12.75">
      <c r="A31" s="9"/>
      <c r="B31" s="10"/>
      <c r="C31" s="22"/>
      <c r="D31" s="10"/>
      <c r="E31" s="93"/>
      <c r="F31" s="229">
        <f t="shared" si="0"/>
        <v>0</v>
      </c>
    </row>
    <row r="32" spans="1:6" ht="13.5" thickBot="1">
      <c r="A32" s="9"/>
      <c r="B32" s="10"/>
      <c r="C32" s="10"/>
      <c r="D32" s="10"/>
      <c r="E32" s="11"/>
      <c r="F32" s="229">
        <f t="shared" si="0"/>
        <v>0</v>
      </c>
    </row>
    <row r="33" spans="1:9" ht="16.5" thickBot="1">
      <c r="A33" s="474" t="s">
        <v>18</v>
      </c>
      <c r="B33" s="475"/>
      <c r="C33" s="475"/>
      <c r="D33" s="476"/>
      <c r="E33" s="11"/>
      <c r="F33" s="229">
        <f t="shared" si="0"/>
        <v>0</v>
      </c>
      <c r="I33" s="53"/>
    </row>
    <row r="34" spans="1:6" ht="12.75">
      <c r="A34" s="9"/>
      <c r="B34" s="10"/>
      <c r="C34" s="10"/>
      <c r="D34" s="10"/>
      <c r="E34" s="11"/>
      <c r="F34" s="229">
        <f t="shared" si="0"/>
        <v>0</v>
      </c>
    </row>
    <row r="35" spans="1:6" ht="12.75">
      <c r="A35" s="9"/>
      <c r="B35" s="10"/>
      <c r="C35" s="22" t="s">
        <v>37</v>
      </c>
      <c r="D35" s="10"/>
      <c r="E35" s="94"/>
      <c r="F35" s="229">
        <f t="shared" si="0"/>
        <v>0</v>
      </c>
    </row>
    <row r="36" spans="1:6" ht="12.75">
      <c r="A36" s="9"/>
      <c r="B36" s="10"/>
      <c r="C36" s="22" t="s">
        <v>19</v>
      </c>
      <c r="D36" s="10"/>
      <c r="E36" s="93" t="e">
        <f>'EQ-ADM'!#REF!</f>
        <v>#REF!</v>
      </c>
      <c r="F36" s="229" t="e">
        <f t="shared" si="0"/>
        <v>#REF!</v>
      </c>
    </row>
    <row r="37" spans="1:6" ht="12.75">
      <c r="A37" s="9"/>
      <c r="B37" s="10"/>
      <c r="C37" s="22"/>
      <c r="D37" s="10"/>
      <c r="E37" s="93" t="e">
        <f>'EQ-ADM'!#REF!</f>
        <v>#REF!</v>
      </c>
      <c r="F37" s="229" t="e">
        <f t="shared" si="0"/>
        <v>#REF!</v>
      </c>
    </row>
    <row r="38" spans="1:6" ht="12.75">
      <c r="A38" s="9"/>
      <c r="B38" s="10"/>
      <c r="C38" s="22"/>
      <c r="D38" s="10"/>
      <c r="E38" s="93"/>
      <c r="F38" s="229">
        <f t="shared" si="0"/>
        <v>0</v>
      </c>
    </row>
    <row r="39" spans="1:6" ht="13.5" thickBot="1">
      <c r="A39" s="9"/>
      <c r="B39" s="10"/>
      <c r="C39" s="17" t="s">
        <v>6</v>
      </c>
      <c r="D39" s="16"/>
      <c r="E39" s="92" t="e">
        <f>SUM(E35:E38)</f>
        <v>#REF!</v>
      </c>
      <c r="F39" s="229" t="e">
        <f t="shared" si="0"/>
        <v>#REF!</v>
      </c>
    </row>
    <row r="40" spans="1:6" ht="14.25" thickBot="1" thickTop="1">
      <c r="A40" s="9"/>
      <c r="B40" s="10"/>
      <c r="C40" s="10"/>
      <c r="D40" s="10"/>
      <c r="E40" s="11"/>
      <c r="F40" s="229">
        <f t="shared" si="0"/>
        <v>0</v>
      </c>
    </row>
    <row r="41" spans="1:6" ht="16.5" thickBot="1">
      <c r="A41" s="23" t="s">
        <v>20</v>
      </c>
      <c r="B41" s="24"/>
      <c r="C41" s="24"/>
      <c r="D41" s="24"/>
      <c r="E41" s="14" t="e">
        <f>E39-E29</f>
        <v>#REF!</v>
      </c>
      <c r="F41" s="229" t="e">
        <f t="shared" si="0"/>
        <v>#REF!</v>
      </c>
    </row>
    <row r="44" spans="1:6" ht="12.75">
      <c r="A44" s="27"/>
      <c r="B44" s="27"/>
      <c r="C44" s="27"/>
      <c r="D44" s="27"/>
      <c r="E44" s="27"/>
      <c r="F44" s="236"/>
    </row>
    <row r="45" ht="12.75" hidden="1">
      <c r="A45" t="s">
        <v>39</v>
      </c>
    </row>
    <row r="46" ht="12.75" hidden="1">
      <c r="A46" t="s">
        <v>40</v>
      </c>
    </row>
  </sheetData>
  <sheetProtection/>
  <mergeCells count="7">
    <mergeCell ref="C16:D16"/>
    <mergeCell ref="C20:D20"/>
    <mergeCell ref="A33:D33"/>
    <mergeCell ref="A2:F2"/>
    <mergeCell ref="A5:D5"/>
    <mergeCell ref="E5:F5"/>
    <mergeCell ref="C15:D1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8">
      <selection activeCell="C16" sqref="C16"/>
    </sheetView>
  </sheetViews>
  <sheetFormatPr defaultColWidth="9.140625" defaultRowHeight="12.75"/>
  <cols>
    <col min="1" max="1" width="32.7109375" style="0" bestFit="1" customWidth="1"/>
    <col min="2" max="2" width="18.7109375" style="0" customWidth="1"/>
    <col min="3" max="3" width="19.8515625" style="0" customWidth="1"/>
    <col min="4" max="4" width="18.7109375" style="0" customWidth="1"/>
  </cols>
  <sheetData>
    <row r="1" spans="1:4" ht="12.75" customHeight="1">
      <c r="A1" s="468" t="s">
        <v>244</v>
      </c>
      <c r="B1" s="468"/>
      <c r="C1" s="468"/>
      <c r="D1" s="468"/>
    </row>
    <row r="2" spans="1:4" ht="12.75" customHeight="1">
      <c r="A2" s="468"/>
      <c r="B2" s="468"/>
      <c r="C2" s="468"/>
      <c r="D2" s="468"/>
    </row>
    <row r="3" spans="1:4" s="43" customFormat="1" ht="26.25" customHeight="1">
      <c r="A3" s="468"/>
      <c r="B3" s="468"/>
      <c r="C3" s="468"/>
      <c r="D3" s="468"/>
    </row>
    <row r="4" s="43" customFormat="1" ht="26.25">
      <c r="A4" s="44"/>
    </row>
    <row r="5" spans="1:2" s="43" customFormat="1" ht="26.25">
      <c r="A5" s="44"/>
      <c r="B5" s="88"/>
    </row>
    <row r="6" spans="1:4" ht="12.75" customHeight="1">
      <c r="A6" s="462" t="s">
        <v>238</v>
      </c>
      <c r="B6" s="463"/>
      <c r="C6" s="463"/>
      <c r="D6" s="464"/>
    </row>
    <row r="7" spans="1:4" ht="13.5" customHeight="1">
      <c r="A7" s="465"/>
      <c r="B7" s="466"/>
      <c r="C7" s="466"/>
      <c r="D7" s="467"/>
    </row>
    <row r="8" spans="1:4" ht="47.25">
      <c r="A8" s="209"/>
      <c r="B8" s="269" t="s">
        <v>239</v>
      </c>
      <c r="C8" s="269" t="s">
        <v>240</v>
      </c>
      <c r="D8" s="210" t="s">
        <v>208</v>
      </c>
    </row>
    <row r="9" spans="1:4" ht="22.5" customHeight="1">
      <c r="A9" s="216" t="s">
        <v>178</v>
      </c>
      <c r="B9" s="243">
        <v>76800</v>
      </c>
      <c r="C9" s="241">
        <v>77082</v>
      </c>
      <c r="D9" s="241">
        <f>B9-C9</f>
        <v>-282</v>
      </c>
    </row>
    <row r="10" spans="1:4" ht="28.5" customHeight="1">
      <c r="A10" s="216" t="s">
        <v>177</v>
      </c>
      <c r="B10" s="243">
        <v>186960</v>
      </c>
      <c r="C10" s="241">
        <v>186000</v>
      </c>
      <c r="D10" s="241">
        <f>B10-C10</f>
        <v>960</v>
      </c>
    </row>
    <row r="11" spans="1:4" ht="15.75">
      <c r="A11" s="86" t="s">
        <v>65</v>
      </c>
      <c r="B11" s="243">
        <v>263760</v>
      </c>
      <c r="C11" s="243">
        <f>SUM(C9:C10)</f>
        <v>263082</v>
      </c>
      <c r="D11" s="241">
        <f>B11-C11</f>
        <v>678</v>
      </c>
    </row>
    <row r="12" spans="1:4" ht="15.75">
      <c r="A12" s="86" t="s">
        <v>42</v>
      </c>
      <c r="B12" s="486">
        <v>322524.53</v>
      </c>
      <c r="C12" s="485">
        <f>221300/8*12</f>
        <v>331950</v>
      </c>
      <c r="D12" s="485">
        <f>B12-C12</f>
        <v>-9425.469999999972</v>
      </c>
    </row>
    <row r="13" spans="1:4" ht="15.75">
      <c r="A13" s="86" t="s">
        <v>44</v>
      </c>
      <c r="B13" s="486"/>
      <c r="C13" s="485"/>
      <c r="D13" s="485"/>
    </row>
    <row r="14" spans="1:4" ht="15.75">
      <c r="A14" s="86" t="s">
        <v>202</v>
      </c>
      <c r="B14" s="486"/>
      <c r="C14" s="485"/>
      <c r="D14" s="485"/>
    </row>
    <row r="15" spans="1:4" ht="15.75">
      <c r="A15" s="86" t="s">
        <v>3</v>
      </c>
      <c r="B15" s="243">
        <v>15000</v>
      </c>
      <c r="C15" s="241">
        <v>5000</v>
      </c>
      <c r="D15" s="241">
        <f>B15-C15</f>
        <v>10000</v>
      </c>
    </row>
    <row r="16" spans="1:4" ht="15.75">
      <c r="A16" s="86" t="s">
        <v>45</v>
      </c>
      <c r="B16" s="243">
        <v>10000</v>
      </c>
      <c r="C16" s="241">
        <v>10000</v>
      </c>
      <c r="D16" s="241">
        <f>B16-C16</f>
        <v>0</v>
      </c>
    </row>
    <row r="17" spans="1:4" ht="18" customHeight="1">
      <c r="A17" s="86" t="s">
        <v>243</v>
      </c>
      <c r="B17" s="243">
        <v>8000</v>
      </c>
      <c r="C17" s="241">
        <v>8000</v>
      </c>
      <c r="D17" s="241"/>
    </row>
    <row r="18" spans="1:4" ht="15.75">
      <c r="A18" s="86" t="s">
        <v>0</v>
      </c>
      <c r="B18" s="289">
        <f>SUM(B11:B17)</f>
        <v>619284.53</v>
      </c>
      <c r="C18" s="273">
        <f>SUM(C11:C17)</f>
        <v>618032</v>
      </c>
      <c r="D18" s="273">
        <f>B18-C18</f>
        <v>1252.530000000028</v>
      </c>
    </row>
    <row r="19" spans="1:4" ht="15.75">
      <c r="A19" s="86" t="s">
        <v>210</v>
      </c>
      <c r="B19" s="243">
        <v>1550000</v>
      </c>
      <c r="C19" s="241">
        <v>1443375</v>
      </c>
      <c r="D19" s="241">
        <f>B19-C19</f>
        <v>106625</v>
      </c>
    </row>
    <row r="20" spans="1:5" ht="15.75">
      <c r="A20" s="86" t="s">
        <v>222</v>
      </c>
      <c r="B20" s="243">
        <v>10000</v>
      </c>
      <c r="C20" s="241">
        <f>(2310/8*12)+(600/8*12)+240</f>
        <v>4605</v>
      </c>
      <c r="D20" s="241">
        <f>B20-C20</f>
        <v>5395</v>
      </c>
      <c r="E20" s="105"/>
    </row>
    <row r="21" spans="1:4" ht="15.75">
      <c r="A21" s="86" t="s">
        <v>96</v>
      </c>
      <c r="B21" s="245">
        <f>SUM(B18:B20)</f>
        <v>2179284.5300000003</v>
      </c>
      <c r="C21" s="245">
        <f>SUM(C18:C20)</f>
        <v>2066012</v>
      </c>
      <c r="D21" s="245">
        <f>B21-C21</f>
        <v>113272.53000000026</v>
      </c>
    </row>
    <row r="22" ht="15" customHeight="1">
      <c r="A22" s="6"/>
    </row>
    <row r="23" ht="12.75" customHeight="1">
      <c r="A23" s="483"/>
    </row>
    <row r="24" ht="12.75">
      <c r="A24" s="483"/>
    </row>
    <row r="25" spans="1:5" ht="21.75" customHeight="1">
      <c r="A25" s="484"/>
      <c r="B25" s="105"/>
      <c r="C25" s="105"/>
      <c r="D25" s="105"/>
      <c r="E25" s="105"/>
    </row>
    <row r="26" ht="12.75">
      <c r="A26" s="170" t="s">
        <v>284</v>
      </c>
    </row>
    <row r="29" ht="12.75">
      <c r="A29" s="10"/>
    </row>
    <row r="30" ht="12.75">
      <c r="A30" s="10"/>
    </row>
    <row r="31" ht="12.75">
      <c r="A31" s="10"/>
    </row>
    <row r="32" ht="12.75">
      <c r="A32" s="10"/>
    </row>
    <row r="33" ht="12.75">
      <c r="A33" s="10"/>
    </row>
    <row r="34" ht="12.75">
      <c r="A34" s="10"/>
    </row>
    <row r="35" ht="12.75">
      <c r="A35" s="10"/>
    </row>
  </sheetData>
  <sheetProtection/>
  <mergeCells count="6">
    <mergeCell ref="A23:A25"/>
    <mergeCell ref="A1:D3"/>
    <mergeCell ref="A6:D7"/>
    <mergeCell ref="C12:C14"/>
    <mergeCell ref="D12:D14"/>
    <mergeCell ref="B12:B1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="75" zoomScaleNormal="75" zoomScalePageLayoutView="0" workbookViewId="0" topLeftCell="A1">
      <selection activeCell="B21" sqref="B21"/>
    </sheetView>
  </sheetViews>
  <sheetFormatPr defaultColWidth="9.140625" defaultRowHeight="12.75"/>
  <cols>
    <col min="1" max="1" width="32.7109375" style="0" bestFit="1" customWidth="1"/>
    <col min="2" max="2" width="18.7109375" style="0" customWidth="1"/>
    <col min="3" max="3" width="19.8515625" style="0" customWidth="1"/>
    <col min="4" max="4" width="18.7109375" style="0" customWidth="1"/>
  </cols>
  <sheetData>
    <row r="1" spans="1:4" ht="12.75" customHeight="1">
      <c r="A1" s="468" t="s">
        <v>144</v>
      </c>
      <c r="B1" s="468"/>
      <c r="C1" s="468"/>
      <c r="D1" s="468"/>
    </row>
    <row r="2" spans="1:4" ht="12.75" customHeight="1">
      <c r="A2" s="468"/>
      <c r="B2" s="468"/>
      <c r="C2" s="468"/>
      <c r="D2" s="468"/>
    </row>
    <row r="3" spans="1:4" s="43" customFormat="1" ht="26.25" customHeight="1">
      <c r="A3" s="468"/>
      <c r="B3" s="468"/>
      <c r="C3" s="468"/>
      <c r="D3" s="468"/>
    </row>
    <row r="4" s="43" customFormat="1" ht="26.25">
      <c r="A4" s="44"/>
    </row>
    <row r="5" spans="1:2" s="43" customFormat="1" ht="26.25">
      <c r="A5" s="44"/>
      <c r="B5" s="88"/>
    </row>
    <row r="6" spans="1:4" ht="12.75" customHeight="1">
      <c r="A6" s="462" t="s">
        <v>238</v>
      </c>
      <c r="B6" s="463"/>
      <c r="C6" s="463"/>
      <c r="D6" s="464"/>
    </row>
    <row r="7" spans="1:4" ht="13.5" customHeight="1">
      <c r="A7" s="465"/>
      <c r="B7" s="466"/>
      <c r="C7" s="466"/>
      <c r="D7" s="467"/>
    </row>
    <row r="8" spans="1:4" ht="47.25">
      <c r="A8" s="209"/>
      <c r="B8" s="269" t="s">
        <v>239</v>
      </c>
      <c r="C8" s="269" t="s">
        <v>240</v>
      </c>
      <c r="D8" s="210" t="s">
        <v>208</v>
      </c>
    </row>
    <row r="9" spans="1:4" ht="15.75">
      <c r="A9" s="86" t="s">
        <v>1</v>
      </c>
      <c r="B9" s="241">
        <v>10500</v>
      </c>
      <c r="C9" s="241">
        <v>10500</v>
      </c>
      <c r="D9" s="241">
        <f>B9-C9</f>
        <v>0</v>
      </c>
    </row>
    <row r="10" spans="1:4" ht="15.75">
      <c r="A10" s="86" t="s">
        <v>2</v>
      </c>
      <c r="B10" s="241">
        <v>68460</v>
      </c>
      <c r="C10" s="241">
        <v>68460</v>
      </c>
      <c r="D10" s="241">
        <f>B10-C10</f>
        <v>0</v>
      </c>
    </row>
    <row r="11" spans="1:4" ht="15.75">
      <c r="A11" s="86" t="s">
        <v>44</v>
      </c>
      <c r="B11" s="241"/>
      <c r="C11" s="241"/>
      <c r="D11" s="241">
        <f>B11-C11</f>
        <v>0</v>
      </c>
    </row>
    <row r="12" spans="1:4" ht="15.75">
      <c r="A12" s="86" t="s">
        <v>66</v>
      </c>
      <c r="B12" s="241">
        <v>1000</v>
      </c>
      <c r="C12" s="241"/>
      <c r="D12" s="241">
        <f>B12-C12</f>
        <v>1000</v>
      </c>
    </row>
    <row r="13" spans="1:4" ht="15.75">
      <c r="A13" s="86" t="s">
        <v>0</v>
      </c>
      <c r="B13" s="245">
        <f>SUM(B9:B12)</f>
        <v>79960</v>
      </c>
      <c r="C13" s="245">
        <f>SUM(C9:C12)</f>
        <v>78960</v>
      </c>
      <c r="D13" s="245">
        <f>B13-C13</f>
        <v>1000</v>
      </c>
    </row>
    <row r="14" ht="15">
      <c r="A14" s="6"/>
    </row>
    <row r="15" ht="15">
      <c r="A15" s="89"/>
    </row>
    <row r="16" ht="15">
      <c r="A16" s="89"/>
    </row>
    <row r="17" ht="21.75" customHeight="1">
      <c r="A17" s="89"/>
    </row>
    <row r="23" spans="1:5" ht="12.75">
      <c r="A23" s="105"/>
      <c r="B23" s="105"/>
      <c r="C23" s="105"/>
      <c r="D23" s="105"/>
      <c r="E23" s="105"/>
    </row>
  </sheetData>
  <sheetProtection/>
  <mergeCells count="2">
    <mergeCell ref="A1:D3"/>
    <mergeCell ref="A6:D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="75" zoomScaleNormal="75" zoomScalePageLayoutView="0" workbookViewId="0" topLeftCell="A2">
      <selection activeCell="C17" sqref="C17"/>
    </sheetView>
  </sheetViews>
  <sheetFormatPr defaultColWidth="9.140625" defaultRowHeight="12.75"/>
  <cols>
    <col min="1" max="1" width="32.7109375" style="0" bestFit="1" customWidth="1"/>
    <col min="2" max="2" width="18.7109375" style="0" customWidth="1"/>
    <col min="3" max="3" width="19.8515625" style="0" customWidth="1"/>
    <col min="4" max="4" width="18.7109375" style="0" customWidth="1"/>
  </cols>
  <sheetData>
    <row r="1" spans="1:4" ht="12.75" customHeight="1">
      <c r="A1" s="468" t="s">
        <v>220</v>
      </c>
      <c r="B1" s="468"/>
      <c r="C1" s="468"/>
      <c r="D1" s="468"/>
    </row>
    <row r="2" spans="1:4" ht="12.75" customHeight="1">
      <c r="A2" s="468"/>
      <c r="B2" s="468"/>
      <c r="C2" s="468"/>
      <c r="D2" s="468"/>
    </row>
    <row r="3" spans="1:4" s="43" customFormat="1" ht="26.25" customHeight="1">
      <c r="A3" s="468"/>
      <c r="B3" s="468"/>
      <c r="C3" s="468"/>
      <c r="D3" s="468"/>
    </row>
    <row r="4" s="43" customFormat="1" ht="26.25">
      <c r="A4" s="44"/>
    </row>
    <row r="5" spans="1:2" s="43" customFormat="1" ht="26.25">
      <c r="A5" s="44"/>
      <c r="B5" s="88"/>
    </row>
    <row r="6" spans="1:4" ht="12.75" customHeight="1">
      <c r="A6" s="462" t="s">
        <v>238</v>
      </c>
      <c r="B6" s="463"/>
      <c r="C6" s="463"/>
      <c r="D6" s="464"/>
    </row>
    <row r="7" spans="1:4" ht="12.75" customHeight="1">
      <c r="A7" s="465"/>
      <c r="B7" s="466"/>
      <c r="C7" s="466"/>
      <c r="D7" s="467"/>
    </row>
    <row r="8" spans="1:4" ht="57" customHeight="1">
      <c r="A8" s="209"/>
      <c r="B8" s="269" t="s">
        <v>239</v>
      </c>
      <c r="C8" s="269" t="s">
        <v>240</v>
      </c>
      <c r="D8" s="210" t="s">
        <v>208</v>
      </c>
    </row>
    <row r="9" spans="1:4" ht="15.75">
      <c r="A9" s="212" t="s">
        <v>1</v>
      </c>
      <c r="B9" s="244">
        <v>7500</v>
      </c>
      <c r="C9" s="244">
        <v>7500</v>
      </c>
      <c r="D9" s="244">
        <f aca="true" t="shared" si="0" ref="D9:D15">B9-C9</f>
        <v>0</v>
      </c>
    </row>
    <row r="10" spans="1:4" ht="15.75">
      <c r="A10" s="86" t="s">
        <v>85</v>
      </c>
      <c r="B10" s="244">
        <v>20424</v>
      </c>
      <c r="C10" s="244">
        <v>20424</v>
      </c>
      <c r="D10" s="244">
        <f t="shared" si="0"/>
        <v>0</v>
      </c>
    </row>
    <row r="11" spans="1:4" ht="15.75">
      <c r="A11" s="86" t="s">
        <v>42</v>
      </c>
      <c r="B11" s="244">
        <v>19773.2854392</v>
      </c>
      <c r="C11" s="244">
        <f>14742/8*12</f>
        <v>22113</v>
      </c>
      <c r="D11" s="244">
        <f t="shared" si="0"/>
        <v>-2339.714560799999</v>
      </c>
    </row>
    <row r="12" spans="1:4" ht="15.75">
      <c r="A12" s="86" t="s">
        <v>200</v>
      </c>
      <c r="B12" s="244">
        <f>SUM(B9:B11)</f>
        <v>47697.2854392</v>
      </c>
      <c r="C12" s="244">
        <f>SUM(C9:C11)</f>
        <v>50037</v>
      </c>
      <c r="D12" s="244">
        <f t="shared" si="0"/>
        <v>-2339.714560799999</v>
      </c>
    </row>
    <row r="13" spans="1:4" ht="15.75">
      <c r="A13" s="86" t="s">
        <v>138</v>
      </c>
      <c r="B13" s="244"/>
      <c r="C13" s="244"/>
      <c r="D13" s="244">
        <f t="shared" si="0"/>
        <v>0</v>
      </c>
    </row>
    <row r="14" spans="1:4" ht="15.75">
      <c r="A14" s="86" t="s">
        <v>211</v>
      </c>
      <c r="B14" s="244">
        <v>58800</v>
      </c>
      <c r="C14" s="244">
        <v>64500</v>
      </c>
      <c r="D14" s="244">
        <f t="shared" si="0"/>
        <v>-5700</v>
      </c>
    </row>
    <row r="15" spans="1:4" ht="15.75">
      <c r="A15" s="86" t="s">
        <v>0</v>
      </c>
      <c r="B15" s="245">
        <f>B12+B14</f>
        <v>106497.2854392</v>
      </c>
      <c r="C15" s="245">
        <f>C12+C14</f>
        <v>114537</v>
      </c>
      <c r="D15" s="245">
        <f t="shared" si="0"/>
        <v>-8039.714560799999</v>
      </c>
    </row>
    <row r="16" spans="1:2" ht="15">
      <c r="A16" s="6"/>
      <c r="B16" s="7"/>
    </row>
    <row r="17" ht="12.75">
      <c r="A17" s="483"/>
    </row>
    <row r="18" ht="12.75">
      <c r="A18" s="483"/>
    </row>
    <row r="19" ht="21.75" customHeight="1">
      <c r="A19" s="483"/>
    </row>
    <row r="24" spans="1:5" ht="12.75">
      <c r="A24" s="105"/>
      <c r="B24" s="105"/>
      <c r="C24" s="105"/>
      <c r="D24" s="105"/>
      <c r="E24" s="105"/>
    </row>
  </sheetData>
  <sheetProtection/>
  <mergeCells count="3">
    <mergeCell ref="A17:A19"/>
    <mergeCell ref="A6:D7"/>
    <mergeCell ref="A1:D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zoomScale="75" zoomScaleNormal="75" zoomScalePageLayoutView="0" workbookViewId="0" topLeftCell="A13">
      <selection activeCell="E41" sqref="E41"/>
    </sheetView>
  </sheetViews>
  <sheetFormatPr defaultColWidth="9.140625" defaultRowHeight="12.75"/>
  <cols>
    <col min="1" max="1" width="19.57421875" style="0" customWidth="1"/>
    <col min="2" max="2" width="9.28125" style="0" customWidth="1"/>
    <col min="3" max="3" width="12.8515625" style="0" customWidth="1"/>
    <col min="4" max="4" width="18.140625" style="0" customWidth="1"/>
    <col min="5" max="5" width="17.7109375" style="0" bestFit="1" customWidth="1"/>
    <col min="6" max="6" width="12.8515625" style="7" customWidth="1"/>
    <col min="8" max="8" width="10.28125" style="0" customWidth="1"/>
  </cols>
  <sheetData>
    <row r="2" spans="1:6" ht="50.25" customHeight="1">
      <c r="A2" s="477" t="s">
        <v>172</v>
      </c>
      <c r="B2" s="477"/>
      <c r="C2" s="477"/>
      <c r="D2" s="477"/>
      <c r="E2" s="477"/>
      <c r="F2" s="477"/>
    </row>
    <row r="3" spans="1:6" ht="12.75">
      <c r="A3" s="8"/>
      <c r="B3" s="8"/>
      <c r="C3" s="8"/>
      <c r="D3" s="8"/>
      <c r="E3" s="8"/>
      <c r="F3" s="226"/>
    </row>
    <row r="4" ht="13.5" thickBot="1"/>
    <row r="5" spans="1:6" ht="16.5" thickBot="1">
      <c r="A5" s="474" t="s">
        <v>11</v>
      </c>
      <c r="B5" s="475"/>
      <c r="C5" s="475"/>
      <c r="D5" s="476"/>
      <c r="E5" s="478" t="s">
        <v>167</v>
      </c>
      <c r="F5" s="479"/>
    </row>
    <row r="6" spans="1:6" ht="12.75">
      <c r="A6" s="9"/>
      <c r="B6" s="10"/>
      <c r="C6" s="10"/>
      <c r="D6" s="10"/>
      <c r="E6" s="18"/>
      <c r="F6" s="227"/>
    </row>
    <row r="7" spans="1:6" ht="12.75">
      <c r="A7" s="25" t="s">
        <v>110</v>
      </c>
      <c r="B7" s="10"/>
      <c r="C7" s="10"/>
      <c r="D7" s="10"/>
      <c r="E7" s="11"/>
      <c r="F7" s="228"/>
    </row>
    <row r="8" spans="1:6" ht="12.75">
      <c r="A8" s="9"/>
      <c r="B8" s="10"/>
      <c r="C8" s="32" t="s">
        <v>99</v>
      </c>
      <c r="D8" s="33"/>
      <c r="E8" s="34">
        <f>450000-E9</f>
        <v>379463.8</v>
      </c>
      <c r="F8" s="237">
        <f>E8/2</f>
        <v>189731.9</v>
      </c>
    </row>
    <row r="9" spans="1:6" ht="12.75">
      <c r="A9" s="9"/>
      <c r="B9" s="10"/>
      <c r="C9" s="32" t="s">
        <v>100</v>
      </c>
      <c r="D9" s="33"/>
      <c r="E9" s="200">
        <f>'[1]riepilogo'!$D$17</f>
        <v>70536.2</v>
      </c>
      <c r="F9" s="237">
        <f aca="true" t="shared" si="0" ref="F9:F45">E9/2</f>
        <v>35268.1</v>
      </c>
    </row>
    <row r="10" spans="1:6" ht="12.75">
      <c r="A10" s="9"/>
      <c r="B10" s="10"/>
      <c r="C10" s="30" t="s">
        <v>112</v>
      </c>
      <c r="D10" s="26"/>
      <c r="E10" s="35" t="e">
        <f>AFFIDI!#REF!-'CE-TM'!E13</f>
        <v>#REF!</v>
      </c>
      <c r="F10" s="237" t="e">
        <f t="shared" si="0"/>
        <v>#REF!</v>
      </c>
    </row>
    <row r="11" spans="1:6" ht="12.75">
      <c r="A11" s="9"/>
      <c r="B11" s="10"/>
      <c r="C11" s="30" t="s">
        <v>139</v>
      </c>
      <c r="D11" s="26"/>
      <c r="E11" s="35" t="e">
        <f>'spazio neutro'!#REF!-E14</f>
        <v>#REF!</v>
      </c>
      <c r="F11" s="237" t="e">
        <f t="shared" si="0"/>
        <v>#REF!</v>
      </c>
    </row>
    <row r="12" spans="1:6" ht="12.75">
      <c r="A12" s="9"/>
      <c r="B12" s="10"/>
      <c r="C12" s="30" t="s">
        <v>195</v>
      </c>
      <c r="D12" s="26"/>
      <c r="E12" s="35">
        <v>300000</v>
      </c>
      <c r="F12" s="237">
        <f t="shared" si="0"/>
        <v>150000</v>
      </c>
    </row>
    <row r="13" spans="1:6" ht="12.75">
      <c r="A13" s="9"/>
      <c r="B13" s="10"/>
      <c r="C13" s="30" t="s">
        <v>141</v>
      </c>
      <c r="D13" s="26"/>
      <c r="E13" s="35">
        <v>40000</v>
      </c>
      <c r="F13" s="237">
        <f t="shared" si="0"/>
        <v>20000</v>
      </c>
    </row>
    <row r="14" spans="1:6" ht="12.75">
      <c r="A14" s="9"/>
      <c r="B14" s="10"/>
      <c r="C14" s="30" t="s">
        <v>142</v>
      </c>
      <c r="D14" s="10"/>
      <c r="E14" s="36">
        <v>45000</v>
      </c>
      <c r="F14" s="237">
        <f t="shared" si="0"/>
        <v>22500</v>
      </c>
    </row>
    <row r="15" spans="1:6" ht="13.5" thickBot="1">
      <c r="A15" s="9"/>
      <c r="B15" s="10"/>
      <c r="C15" s="17" t="s">
        <v>5</v>
      </c>
      <c r="D15" s="16"/>
      <c r="E15" s="19" t="e">
        <f>SUM(E8:E14)</f>
        <v>#REF!</v>
      </c>
      <c r="F15" s="237" t="e">
        <f t="shared" si="0"/>
        <v>#REF!</v>
      </c>
    </row>
    <row r="16" spans="1:6" ht="13.5" thickTop="1">
      <c r="A16" s="9"/>
      <c r="B16" s="10"/>
      <c r="C16" s="10"/>
      <c r="D16" s="10"/>
      <c r="E16" s="11"/>
      <c r="F16" s="237">
        <f t="shared" si="0"/>
        <v>0</v>
      </c>
    </row>
    <row r="17" spans="1:6" ht="12.75">
      <c r="A17" s="25" t="s">
        <v>13</v>
      </c>
      <c r="B17" s="10"/>
      <c r="C17" s="10"/>
      <c r="D17" s="10"/>
      <c r="E17" s="11"/>
      <c r="F17" s="237">
        <f t="shared" si="0"/>
        <v>0</v>
      </c>
    </row>
    <row r="18" spans="1:6" ht="12.75">
      <c r="A18" s="9"/>
      <c r="B18" s="10"/>
      <c r="C18" s="473" t="s">
        <v>93</v>
      </c>
      <c r="D18" s="473"/>
      <c r="E18" s="11"/>
      <c r="F18" s="237">
        <f t="shared" si="0"/>
        <v>0</v>
      </c>
    </row>
    <row r="19" spans="1:6" ht="12.75">
      <c r="A19" s="9"/>
      <c r="B19" s="10"/>
      <c r="C19" s="472" t="s">
        <v>12</v>
      </c>
      <c r="D19" s="472"/>
      <c r="E19" s="121" t="e">
        <f>E45-(E15-E24-E30)</f>
        <v>#REF!</v>
      </c>
      <c r="F19" s="237" t="e">
        <f t="shared" si="0"/>
        <v>#REF!</v>
      </c>
    </row>
    <row r="20" spans="1:6" ht="13.5" thickBot="1">
      <c r="A20" s="9"/>
      <c r="B20" s="10"/>
      <c r="C20" s="15" t="s">
        <v>5</v>
      </c>
      <c r="D20" s="15"/>
      <c r="E20" s="19" t="e">
        <f>E19</f>
        <v>#REF!</v>
      </c>
      <c r="F20" s="237" t="e">
        <f t="shared" si="0"/>
        <v>#REF!</v>
      </c>
    </row>
    <row r="21" spans="1:6" ht="13.5" thickTop="1">
      <c r="A21" s="9"/>
      <c r="B21" s="10"/>
      <c r="C21" s="10"/>
      <c r="D21" s="10"/>
      <c r="E21" s="11"/>
      <c r="F21" s="237">
        <f t="shared" si="0"/>
        <v>0</v>
      </c>
    </row>
    <row r="22" spans="1:6" ht="12.75">
      <c r="A22" s="25" t="s">
        <v>21</v>
      </c>
      <c r="B22" s="10"/>
      <c r="C22" s="10"/>
      <c r="D22" s="10"/>
      <c r="E22" s="11"/>
      <c r="F22" s="237">
        <f t="shared" si="0"/>
        <v>0</v>
      </c>
    </row>
    <row r="23" spans="1:6" ht="12.75">
      <c r="A23" s="9"/>
      <c r="B23" s="10"/>
      <c r="C23" s="473" t="s">
        <v>12</v>
      </c>
      <c r="D23" s="473"/>
      <c r="E23" s="11"/>
      <c r="F23" s="237">
        <f t="shared" si="0"/>
        <v>0</v>
      </c>
    </row>
    <row r="24" spans="1:10" ht="13.5" thickBot="1">
      <c r="A24" s="151"/>
      <c r="B24" s="69"/>
      <c r="C24" s="152" t="s">
        <v>5</v>
      </c>
      <c r="D24" s="152"/>
      <c r="E24" s="179"/>
      <c r="F24" s="237">
        <f t="shared" si="0"/>
        <v>0</v>
      </c>
      <c r="G24" s="105"/>
      <c r="H24" s="105"/>
      <c r="I24" s="105"/>
      <c r="J24" s="105"/>
    </row>
    <row r="25" spans="1:6" ht="13.5" thickTop="1">
      <c r="A25" s="9"/>
      <c r="B25" s="10"/>
      <c r="C25" s="10"/>
      <c r="D25" s="10"/>
      <c r="E25" s="11"/>
      <c r="F25" s="237">
        <f t="shared" si="0"/>
        <v>0</v>
      </c>
    </row>
    <row r="26" spans="1:6" ht="12.75">
      <c r="A26" s="25" t="s">
        <v>14</v>
      </c>
      <c r="B26" s="10"/>
      <c r="C26" s="10"/>
      <c r="D26" s="10"/>
      <c r="E26" s="11"/>
      <c r="F26" s="237">
        <f t="shared" si="0"/>
        <v>0</v>
      </c>
    </row>
    <row r="27" spans="1:6" ht="12.75">
      <c r="A27" s="25"/>
      <c r="B27" s="10"/>
      <c r="C27" s="22" t="s">
        <v>94</v>
      </c>
      <c r="D27" s="10"/>
      <c r="E27" s="11"/>
      <c r="F27" s="237">
        <f t="shared" si="0"/>
        <v>0</v>
      </c>
    </row>
    <row r="28" spans="1:6" ht="12.75">
      <c r="A28" s="9"/>
      <c r="B28" s="10"/>
      <c r="C28" s="22" t="s">
        <v>15</v>
      </c>
      <c r="D28" s="10"/>
      <c r="E28" s="11"/>
      <c r="F28" s="237">
        <f t="shared" si="0"/>
        <v>0</v>
      </c>
    </row>
    <row r="29" spans="1:6" ht="12.75">
      <c r="A29" s="9"/>
      <c r="B29" s="10"/>
      <c r="C29" s="22" t="s">
        <v>17</v>
      </c>
      <c r="D29" s="10"/>
      <c r="E29" s="11"/>
      <c r="F29" s="237">
        <f t="shared" si="0"/>
        <v>0</v>
      </c>
    </row>
    <row r="30" spans="1:6" ht="13.5" thickBot="1">
      <c r="A30" s="9"/>
      <c r="B30" s="10"/>
      <c r="C30" s="17" t="s">
        <v>5</v>
      </c>
      <c r="D30" s="16"/>
      <c r="E30" s="20"/>
      <c r="F30" s="237">
        <f t="shared" si="0"/>
        <v>0</v>
      </c>
    </row>
    <row r="31" spans="1:6" ht="13.5" thickTop="1">
      <c r="A31" s="9"/>
      <c r="B31" s="10"/>
      <c r="C31" s="10"/>
      <c r="D31" s="10"/>
      <c r="E31" s="11"/>
      <c r="F31" s="237">
        <f t="shared" si="0"/>
        <v>0</v>
      </c>
    </row>
    <row r="32" spans="1:6" ht="13.5" thickBot="1">
      <c r="A32" s="9"/>
      <c r="B32" s="10"/>
      <c r="C32" s="17" t="s">
        <v>16</v>
      </c>
      <c r="D32" s="16"/>
      <c r="E32" s="21" t="e">
        <f>E30+E24+E20+E15</f>
        <v>#REF!</v>
      </c>
      <c r="F32" s="237" t="e">
        <f t="shared" si="0"/>
        <v>#REF!</v>
      </c>
    </row>
    <row r="33" spans="1:6" ht="13.5" thickTop="1">
      <c r="A33" s="9"/>
      <c r="B33" s="10"/>
      <c r="C33" s="22"/>
      <c r="D33" s="10"/>
      <c r="E33" s="12"/>
      <c r="F33" s="237">
        <f t="shared" si="0"/>
        <v>0</v>
      </c>
    </row>
    <row r="34" spans="1:6" ht="12.75">
      <c r="A34" s="9"/>
      <c r="B34" s="10"/>
      <c r="C34" s="22"/>
      <c r="D34" s="10"/>
      <c r="E34" s="12"/>
      <c r="F34" s="237">
        <f t="shared" si="0"/>
        <v>0</v>
      </c>
    </row>
    <row r="35" spans="1:6" ht="13.5" thickBot="1">
      <c r="A35" s="9"/>
      <c r="B35" s="10"/>
      <c r="C35" s="10"/>
      <c r="D35" s="10"/>
      <c r="E35" s="11"/>
      <c r="F35" s="237">
        <f t="shared" si="0"/>
        <v>0</v>
      </c>
    </row>
    <row r="36" spans="1:6" ht="16.5" thickBot="1">
      <c r="A36" s="487" t="s">
        <v>18</v>
      </c>
      <c r="B36" s="488"/>
      <c r="C36" s="488"/>
      <c r="D36" s="489"/>
      <c r="E36" s="11"/>
      <c r="F36" s="237">
        <f t="shared" si="0"/>
        <v>0</v>
      </c>
    </row>
    <row r="37" spans="1:6" ht="12.75">
      <c r="A37" s="126"/>
      <c r="B37" s="88"/>
      <c r="C37" s="88"/>
      <c r="D37" s="88"/>
      <c r="E37" s="11"/>
      <c r="F37" s="237">
        <f t="shared" si="0"/>
        <v>0</v>
      </c>
    </row>
    <row r="38" spans="1:6" ht="12.75">
      <c r="A38" s="9"/>
      <c r="B38" s="10"/>
      <c r="C38" s="147" t="s">
        <v>41</v>
      </c>
      <c r="D38" s="88"/>
      <c r="E38" s="13" t="e">
        <f>'EQ-TM'!#REF!</f>
        <v>#REF!</v>
      </c>
      <c r="F38" s="237" t="e">
        <f t="shared" si="0"/>
        <v>#REF!</v>
      </c>
    </row>
    <row r="39" spans="1:6" ht="12.75">
      <c r="A39" s="9"/>
      <c r="B39" s="10"/>
      <c r="C39" s="22" t="s">
        <v>95</v>
      </c>
      <c r="D39" s="10"/>
      <c r="E39" s="12" t="e">
        <f>AFFIDI!#REF!</f>
        <v>#REF!</v>
      </c>
      <c r="F39" s="237" t="e">
        <f t="shared" si="0"/>
        <v>#REF!</v>
      </c>
    </row>
    <row r="40" spans="1:6" ht="12.75">
      <c r="A40" s="9"/>
      <c r="B40" s="10"/>
      <c r="C40" s="22" t="s">
        <v>140</v>
      </c>
      <c r="D40" s="10"/>
      <c r="E40" s="12" t="e">
        <f>'spazio neutro'!#REF!</f>
        <v>#REF!</v>
      </c>
      <c r="F40" s="237" t="e">
        <f t="shared" si="0"/>
        <v>#REF!</v>
      </c>
    </row>
    <row r="41" spans="1:6" ht="12.75">
      <c r="A41" s="9"/>
      <c r="B41" s="10"/>
      <c r="C41" s="22" t="s">
        <v>97</v>
      </c>
      <c r="D41" s="10"/>
      <c r="E41" s="161">
        <f>'[1]riepilogo'!$D$16</f>
        <v>1530827.8059637782</v>
      </c>
      <c r="F41" s="237">
        <f t="shared" si="0"/>
        <v>765413.9029818891</v>
      </c>
    </row>
    <row r="42" spans="1:6" ht="12.75">
      <c r="A42" s="9"/>
      <c r="B42" s="10"/>
      <c r="C42" s="22" t="s">
        <v>98</v>
      </c>
      <c r="D42" s="10"/>
      <c r="E42" s="161">
        <f>'[1]riepilogo'!$D$17</f>
        <v>70536.2</v>
      </c>
      <c r="F42" s="237">
        <f t="shared" si="0"/>
        <v>35268.1</v>
      </c>
    </row>
    <row r="43" spans="1:6" ht="12.75">
      <c r="A43" s="9"/>
      <c r="B43" s="10"/>
      <c r="C43" s="22"/>
      <c r="D43" s="10"/>
      <c r="E43" s="13"/>
      <c r="F43" s="237">
        <f t="shared" si="0"/>
        <v>0</v>
      </c>
    </row>
    <row r="44" spans="1:6" ht="12.75">
      <c r="A44" s="9"/>
      <c r="B44" s="10"/>
      <c r="C44" s="22"/>
      <c r="D44" s="10"/>
      <c r="E44" s="12"/>
      <c r="F44" s="237">
        <f t="shared" si="0"/>
        <v>0</v>
      </c>
    </row>
    <row r="45" spans="1:6" ht="13.5" thickBot="1">
      <c r="A45" s="9"/>
      <c r="B45" s="10"/>
      <c r="C45" s="17" t="s">
        <v>6</v>
      </c>
      <c r="D45" s="16"/>
      <c r="E45" s="21" t="e">
        <f>SUM(E38:E44)</f>
        <v>#REF!</v>
      </c>
      <c r="F45" s="237" t="e">
        <f t="shared" si="0"/>
        <v>#REF!</v>
      </c>
    </row>
    <row r="46" spans="1:6" ht="14.25" thickBot="1" thickTop="1">
      <c r="A46" s="9"/>
      <c r="B46" s="10"/>
      <c r="C46" s="10"/>
      <c r="D46" s="10"/>
      <c r="E46" s="11"/>
      <c r="F46" s="228"/>
    </row>
    <row r="47" spans="1:6" ht="16.5" thickBot="1">
      <c r="A47" s="23" t="s">
        <v>20</v>
      </c>
      <c r="B47" s="24"/>
      <c r="C47" s="24"/>
      <c r="D47" s="24"/>
      <c r="E47" s="14" t="e">
        <f>E32-E45</f>
        <v>#REF!</v>
      </c>
      <c r="F47" s="235"/>
    </row>
    <row r="50" spans="1:6" ht="12.75">
      <c r="A50" s="27"/>
      <c r="B50" s="27"/>
      <c r="C50" s="27"/>
      <c r="D50" s="27"/>
      <c r="E50" s="27"/>
      <c r="F50" s="236"/>
    </row>
    <row r="51" ht="12.75" hidden="1">
      <c r="A51" t="s">
        <v>39</v>
      </c>
    </row>
    <row r="52" ht="12.75" hidden="1">
      <c r="A52" t="s">
        <v>40</v>
      </c>
    </row>
  </sheetData>
  <sheetProtection/>
  <mergeCells count="7">
    <mergeCell ref="A2:F2"/>
    <mergeCell ref="A5:D5"/>
    <mergeCell ref="E5:F5"/>
    <mergeCell ref="A36:D36"/>
    <mergeCell ref="C18:D18"/>
    <mergeCell ref="C19:D19"/>
    <mergeCell ref="C23:D2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K23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32.7109375" style="0" bestFit="1" customWidth="1"/>
    <col min="2" max="2" width="18.7109375" style="0" customWidth="1"/>
    <col min="3" max="3" width="19.8515625" style="0" customWidth="1"/>
    <col min="4" max="4" width="18.7109375" style="0" customWidth="1"/>
    <col min="9" max="9" width="9.421875" style="0" customWidth="1"/>
  </cols>
  <sheetData>
    <row r="1" spans="1:4" ht="12.75" customHeight="1">
      <c r="A1" s="468" t="s">
        <v>221</v>
      </c>
      <c r="B1" s="468"/>
      <c r="C1" s="468"/>
      <c r="D1" s="468"/>
    </row>
    <row r="2" spans="1:4" ht="12.75" customHeight="1">
      <c r="A2" s="468"/>
      <c r="B2" s="468"/>
      <c r="C2" s="468"/>
      <c r="D2" s="468"/>
    </row>
    <row r="3" spans="1:4" s="43" customFormat="1" ht="41.25" customHeight="1">
      <c r="A3" s="468"/>
      <c r="B3" s="468"/>
      <c r="C3" s="468"/>
      <c r="D3" s="468"/>
    </row>
    <row r="4" s="43" customFormat="1" ht="26.25">
      <c r="A4" s="44"/>
    </row>
    <row r="5" spans="1:2" s="43" customFormat="1" ht="26.25">
      <c r="A5" s="44"/>
      <c r="B5" s="88"/>
    </row>
    <row r="6" spans="1:11" ht="12.75" customHeight="1">
      <c r="A6" s="462" t="s">
        <v>238</v>
      </c>
      <c r="B6" s="463"/>
      <c r="C6" s="463"/>
      <c r="D6" s="464"/>
      <c r="I6">
        <f>18457*18.66</f>
        <v>344407.62</v>
      </c>
      <c r="K6">
        <f>1986/7*12</f>
        <v>3404.5714285714284</v>
      </c>
    </row>
    <row r="7" spans="1:11" ht="13.5" customHeight="1">
      <c r="A7" s="465"/>
      <c r="B7" s="466"/>
      <c r="C7" s="466"/>
      <c r="D7" s="467"/>
      <c r="I7">
        <f>36952/8*12</f>
        <v>55428</v>
      </c>
      <c r="K7">
        <f>3809/8*12</f>
        <v>5713.5</v>
      </c>
    </row>
    <row r="8" spans="1:9" ht="57" customHeight="1">
      <c r="A8" s="209"/>
      <c r="B8" s="269" t="s">
        <v>239</v>
      </c>
      <c r="C8" s="269" t="s">
        <v>240</v>
      </c>
      <c r="D8" s="210" t="s">
        <v>208</v>
      </c>
      <c r="I8">
        <f>270*18.66</f>
        <v>5038.2</v>
      </c>
    </row>
    <row r="9" spans="1:4" ht="25.5" customHeight="1">
      <c r="A9" s="86" t="s">
        <v>115</v>
      </c>
      <c r="B9" s="253">
        <v>32996.233492</v>
      </c>
      <c r="C9" s="253">
        <f>24701/8*12</f>
        <v>37051.5</v>
      </c>
      <c r="D9" s="253">
        <f aca="true" t="shared" si="0" ref="D9:D14">B9-C9</f>
        <v>-4055.2665080000006</v>
      </c>
    </row>
    <row r="10" spans="1:5" ht="15.75">
      <c r="A10" s="86" t="s">
        <v>213</v>
      </c>
      <c r="B10" s="253">
        <v>371490</v>
      </c>
      <c r="C10" s="406">
        <f>(219319/8*12)+(36952/8*12)+(270*18.66)</f>
        <v>389444.7</v>
      </c>
      <c r="D10" s="253">
        <f t="shared" si="0"/>
        <v>-17954.70000000001</v>
      </c>
      <c r="E10" t="s">
        <v>261</v>
      </c>
    </row>
    <row r="11" spans="1:11" ht="15.75">
      <c r="A11" s="86" t="s">
        <v>285</v>
      </c>
      <c r="B11" s="244"/>
      <c r="C11" s="244">
        <v>200</v>
      </c>
      <c r="D11" s="253">
        <f t="shared" si="0"/>
        <v>-200</v>
      </c>
      <c r="K11">
        <f>89/2*6</f>
        <v>267</v>
      </c>
    </row>
    <row r="12" spans="1:8" ht="15.75">
      <c r="A12" s="86" t="s">
        <v>96</v>
      </c>
      <c r="B12" s="272">
        <f>SUM(B9:B11)</f>
        <v>404486.233492</v>
      </c>
      <c r="C12" s="272">
        <f>SUM(C9:C10)</f>
        <v>426496.2</v>
      </c>
      <c r="D12" s="272">
        <f t="shared" si="0"/>
        <v>-22009.966507999983</v>
      </c>
      <c r="E12" s="444" t="s">
        <v>283</v>
      </c>
      <c r="F12" s="444"/>
      <c r="G12" s="444"/>
      <c r="H12" s="444"/>
    </row>
    <row r="13" spans="1:4" ht="15.75">
      <c r="A13" s="86" t="s">
        <v>113</v>
      </c>
      <c r="B13" s="244">
        <v>250000</v>
      </c>
      <c r="C13" s="244">
        <v>253000</v>
      </c>
      <c r="D13" s="244">
        <f t="shared" si="0"/>
        <v>-3000</v>
      </c>
    </row>
    <row r="14" spans="1:4" ht="15.75">
      <c r="A14" s="86" t="s">
        <v>0</v>
      </c>
      <c r="B14" s="245">
        <f>SUM(B12:B13)</f>
        <v>654486.233492</v>
      </c>
      <c r="C14" s="245">
        <f>C12+C13</f>
        <v>679496.2</v>
      </c>
      <c r="D14" s="245">
        <f t="shared" si="0"/>
        <v>-25009.966507999925</v>
      </c>
    </row>
    <row r="15" ht="15.75">
      <c r="A15" s="90"/>
    </row>
    <row r="16" spans="1:3" ht="15.75">
      <c r="A16" s="217"/>
      <c r="C16" s="7"/>
    </row>
    <row r="17" ht="15.75">
      <c r="A17" s="217"/>
    </row>
    <row r="18" spans="1:6" ht="15">
      <c r="A18" s="6"/>
      <c r="F18" s="10"/>
    </row>
    <row r="19" ht="15">
      <c r="A19" s="89"/>
    </row>
    <row r="20" ht="12.75">
      <c r="A20" s="171"/>
    </row>
    <row r="21" ht="12.75">
      <c r="A21" s="171"/>
    </row>
    <row r="22" spans="1:2" ht="13.5" customHeight="1">
      <c r="A22" s="173"/>
      <c r="B22" s="7"/>
    </row>
    <row r="23" spans="1:5" ht="12.75">
      <c r="A23" s="178"/>
      <c r="B23" s="105"/>
      <c r="C23" s="105"/>
      <c r="D23" s="105"/>
      <c r="E23" s="105"/>
    </row>
  </sheetData>
  <sheetProtection/>
  <mergeCells count="2">
    <mergeCell ref="A1:D3"/>
    <mergeCell ref="A6:D7"/>
  </mergeCells>
  <printOptions horizontalCentered="1" verticalCentered="1"/>
  <pageMargins left="0.7874015748031497" right="0.551181102362204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72.28125" style="105" customWidth="1"/>
    <col min="2" max="2" width="25.28125" style="105" customWidth="1"/>
    <col min="3" max="3" width="25.421875" style="105" customWidth="1"/>
    <col min="4" max="4" width="20.7109375" style="105" customWidth="1"/>
    <col min="5" max="5" width="12.00390625" style="105" customWidth="1"/>
    <col min="6" max="6" width="11.28125" style="105" customWidth="1"/>
    <col min="7" max="16384" width="9.140625" style="105" customWidth="1"/>
  </cols>
  <sheetData>
    <row r="2" spans="1:5" ht="60" customHeight="1">
      <c r="A2" s="461" t="s">
        <v>268</v>
      </c>
      <c r="B2" s="461"/>
      <c r="C2" s="461"/>
      <c r="D2" s="461"/>
      <c r="E2" s="461"/>
    </row>
    <row r="3" ht="12.75">
      <c r="A3" s="8"/>
    </row>
    <row r="4" ht="13.5" thickBot="1"/>
    <row r="5" spans="1:5" ht="16.5" thickBot="1">
      <c r="A5" s="456" t="s">
        <v>18</v>
      </c>
      <c r="B5" s="457"/>
      <c r="C5" s="458" t="s">
        <v>219</v>
      </c>
      <c r="D5" s="459"/>
      <c r="E5" s="460"/>
    </row>
    <row r="6" spans="1:6" ht="15.75">
      <c r="A6" s="151"/>
      <c r="B6" s="413" t="s">
        <v>267</v>
      </c>
      <c r="C6" s="278" t="s">
        <v>218</v>
      </c>
      <c r="D6" s="267" t="s">
        <v>214</v>
      </c>
      <c r="E6" s="280" t="s">
        <v>10</v>
      </c>
      <c r="F6" s="153"/>
    </row>
    <row r="7" spans="1:5" ht="12.75">
      <c r="A7" s="175" t="s">
        <v>189</v>
      </c>
      <c r="B7" s="414">
        <v>1091223.1678959033</v>
      </c>
      <c r="C7" s="279">
        <f>UDP!C17</f>
        <v>1168152.58</v>
      </c>
      <c r="D7" s="265">
        <f>B7-C7</f>
        <v>-76929.41210409673</v>
      </c>
      <c r="E7" s="271">
        <f>D7/B7</f>
        <v>-0.07049833101732254</v>
      </c>
    </row>
    <row r="8" spans="1:6" ht="12.75">
      <c r="A8" s="175" t="s">
        <v>156</v>
      </c>
      <c r="B8" s="414">
        <v>1839292.6384373335</v>
      </c>
      <c r="C8" s="279">
        <f>TRASPORTI!C16</f>
        <v>1769232.39</v>
      </c>
      <c r="D8" s="265">
        <f aca="true" t="shared" si="0" ref="D8:D16">B8-C8</f>
        <v>70060.24843733362</v>
      </c>
      <c r="E8" s="271">
        <f aca="true" t="shared" si="1" ref="E8:E17">D8/B8</f>
        <v>0.03809086546274493</v>
      </c>
      <c r="F8" s="270"/>
    </row>
    <row r="9" spans="1:5" ht="12.75">
      <c r="A9" s="175" t="s">
        <v>69</v>
      </c>
      <c r="B9" s="414">
        <v>297321.2082493333</v>
      </c>
      <c r="C9" s="279">
        <f>NIL!C20</f>
        <v>257511.20824933334</v>
      </c>
      <c r="D9" s="265">
        <f t="shared" si="0"/>
        <v>39809.99999999997</v>
      </c>
      <c r="E9" s="271">
        <f t="shared" si="1"/>
        <v>0.13389559471524592</v>
      </c>
    </row>
    <row r="10" spans="1:5" ht="12.75">
      <c r="A10" s="175" t="s">
        <v>157</v>
      </c>
      <c r="B10" s="265">
        <v>41170</v>
      </c>
      <c r="C10" s="279">
        <f>BADANTI!C12</f>
        <v>41170</v>
      </c>
      <c r="D10" s="265">
        <f t="shared" si="0"/>
        <v>0</v>
      </c>
      <c r="E10" s="271">
        <f t="shared" si="1"/>
        <v>0</v>
      </c>
    </row>
    <row r="11" spans="1:5" ht="12.75">
      <c r="A11" s="175" t="s">
        <v>109</v>
      </c>
      <c r="B11" s="265">
        <v>68168</v>
      </c>
      <c r="C11" s="279">
        <f>migramondo!C15</f>
        <v>68168</v>
      </c>
      <c r="D11" s="265">
        <f t="shared" si="0"/>
        <v>0</v>
      </c>
      <c r="E11" s="271">
        <f t="shared" si="1"/>
        <v>0</v>
      </c>
    </row>
    <row r="12" spans="1:5" ht="12.75">
      <c r="A12" s="175" t="s">
        <v>68</v>
      </c>
      <c r="B12" s="265">
        <v>796428.733492</v>
      </c>
      <c r="C12" s="279">
        <f>'EQ-ADM'!C14</f>
        <v>805941</v>
      </c>
      <c r="D12" s="265">
        <f t="shared" si="0"/>
        <v>-9512.266507999972</v>
      </c>
      <c r="E12" s="271">
        <f t="shared" si="1"/>
        <v>-0.01194365058414297</v>
      </c>
    </row>
    <row r="13" spans="1:5" ht="12.75">
      <c r="A13" s="175" t="s">
        <v>67</v>
      </c>
      <c r="B13" s="265">
        <v>2365741.8172349045</v>
      </c>
      <c r="C13" s="279">
        <f>'EQ-TM'!C21+'spazio neutro'!C13+AFFIDI!C15</f>
        <v>2259509</v>
      </c>
      <c r="D13" s="265">
        <f t="shared" si="0"/>
        <v>106232.8172349045</v>
      </c>
      <c r="E13" s="271">
        <f t="shared" si="1"/>
        <v>0.04490465377962087</v>
      </c>
    </row>
    <row r="14" spans="1:5" ht="12.75">
      <c r="A14" s="175" t="s">
        <v>121</v>
      </c>
      <c r="B14" s="265">
        <v>654486.233492</v>
      </c>
      <c r="C14" s="279">
        <f>'EQ SAD'!C14</f>
        <v>679496.2</v>
      </c>
      <c r="D14" s="265">
        <f t="shared" si="0"/>
        <v>-25009.966507999925</v>
      </c>
      <c r="E14" s="271">
        <f t="shared" si="1"/>
        <v>-0.03821312844818703</v>
      </c>
    </row>
    <row r="15" spans="1:5" ht="12.75">
      <c r="A15" s="175" t="s">
        <v>217</v>
      </c>
      <c r="B15" s="265">
        <v>28158.839528201923</v>
      </c>
      <c r="C15" s="279">
        <f>'SERV SOCI PROF'!C14</f>
        <v>71379.02571428572</v>
      </c>
      <c r="D15" s="265">
        <f t="shared" si="0"/>
        <v>-43220.186186083796</v>
      </c>
      <c r="E15" s="271">
        <f t="shared" si="1"/>
        <v>-1.5348710000210586</v>
      </c>
    </row>
    <row r="16" spans="1:5" ht="13.5" thickBot="1">
      <c r="A16" s="281" t="s">
        <v>23</v>
      </c>
      <c r="B16" s="415">
        <v>320519.8928613333</v>
      </c>
      <c r="C16" s="282">
        <f>'ONERI CENT'!C26</f>
        <v>316903.3333333333</v>
      </c>
      <c r="D16" s="283">
        <f t="shared" si="0"/>
        <v>3616.5595280000125</v>
      </c>
      <c r="E16" s="284">
        <f t="shared" si="1"/>
        <v>0.011283416750562332</v>
      </c>
    </row>
    <row r="17" spans="1:5" ht="16.5" thickBot="1">
      <c r="A17" s="285" t="s">
        <v>126</v>
      </c>
      <c r="B17" s="412">
        <f>SUM(B7:B16)</f>
        <v>7502510.53119101</v>
      </c>
      <c r="C17" s="286">
        <f>SUM(C7:C16)</f>
        <v>7437462.737296952</v>
      </c>
      <c r="D17" s="287">
        <f>SUM(D7:D16)</f>
        <v>65047.793894057686</v>
      </c>
      <c r="E17" s="288">
        <f t="shared" si="1"/>
        <v>0.008670136965969905</v>
      </c>
    </row>
    <row r="18" spans="1:13" ht="15.75">
      <c r="A18" s="69"/>
      <c r="B18" s="154"/>
      <c r="G18" s="204"/>
      <c r="H18" s="204"/>
      <c r="I18" s="204"/>
      <c r="J18" s="204"/>
      <c r="K18" s="204"/>
      <c r="L18" s="204"/>
      <c r="M18" s="204"/>
    </row>
    <row r="19" spans="5:13" ht="12.75">
      <c r="E19" s="204"/>
      <c r="F19" s="204"/>
      <c r="G19" s="204"/>
      <c r="H19" s="204"/>
      <c r="I19" s="204"/>
      <c r="J19" s="204"/>
      <c r="K19" s="204"/>
      <c r="L19" s="204"/>
      <c r="M19" s="204"/>
    </row>
    <row r="20" spans="4:13" ht="13.5" thickBot="1">
      <c r="D20" s="204"/>
      <c r="E20" s="204"/>
      <c r="F20" s="204"/>
      <c r="G20" s="204"/>
      <c r="H20" s="204"/>
      <c r="I20" s="204"/>
      <c r="J20" s="204"/>
      <c r="K20" s="204"/>
      <c r="L20" s="204"/>
      <c r="M20" s="204"/>
    </row>
    <row r="21" spans="1:13" ht="16.5" thickBot="1">
      <c r="A21" s="28" t="s">
        <v>64</v>
      </c>
      <c r="B21" s="266">
        <f>B16/B17</f>
        <v>0.04272168516509251</v>
      </c>
      <c r="C21" s="203">
        <f>C16/C17</f>
        <v>0.042609065016775825</v>
      </c>
      <c r="D21" s="204"/>
      <c r="E21" s="204"/>
      <c r="F21" s="204"/>
      <c r="G21" s="204"/>
      <c r="H21" s="204"/>
      <c r="I21" s="204"/>
      <c r="J21" s="204"/>
      <c r="K21" s="204"/>
      <c r="L21" s="204"/>
      <c r="M21" s="204"/>
    </row>
    <row r="23" spans="1:13" ht="15.75">
      <c r="A23" s="416"/>
      <c r="B23" s="417"/>
      <c r="C23" s="417"/>
      <c r="D23" s="204"/>
      <c r="E23" s="204"/>
      <c r="F23" s="204"/>
      <c r="G23" s="204"/>
      <c r="H23" s="204"/>
      <c r="I23" s="204"/>
      <c r="J23" s="204"/>
      <c r="K23" s="204"/>
      <c r="L23" s="204"/>
      <c r="M23" s="204"/>
    </row>
    <row r="24" spans="1:13" ht="15.75">
      <c r="A24" s="416"/>
      <c r="B24" s="417"/>
      <c r="C24" s="417"/>
      <c r="D24" s="204"/>
      <c r="E24" s="204"/>
      <c r="F24" s="204"/>
      <c r="G24" s="204"/>
      <c r="H24" s="204"/>
      <c r="I24" s="204"/>
      <c r="J24" s="204"/>
      <c r="K24" s="204"/>
      <c r="L24" s="204"/>
      <c r="M24" s="204"/>
    </row>
    <row r="25" spans="1:13" ht="15.75">
      <c r="A25" s="416"/>
      <c r="B25" s="417"/>
      <c r="C25" s="417"/>
      <c r="D25" s="204"/>
      <c r="E25" s="204"/>
      <c r="F25" s="204"/>
      <c r="G25" s="204"/>
      <c r="H25" s="204"/>
      <c r="I25" s="204"/>
      <c r="J25" s="204"/>
      <c r="K25" s="204"/>
      <c r="L25" s="204"/>
      <c r="M25" s="204"/>
    </row>
    <row r="26" spans="1:13" ht="15.75">
      <c r="A26" s="416"/>
      <c r="B26" s="417"/>
      <c r="C26" s="417"/>
      <c r="D26" s="204"/>
      <c r="E26" s="204"/>
      <c r="F26" s="204"/>
      <c r="G26" s="204"/>
      <c r="H26" s="204"/>
      <c r="I26" s="204"/>
      <c r="J26" s="204"/>
      <c r="K26" s="204"/>
      <c r="L26" s="204"/>
      <c r="M26" s="204"/>
    </row>
    <row r="27" spans="1:13" ht="15.75">
      <c r="A27" s="416"/>
      <c r="B27" s="417"/>
      <c r="C27" s="417"/>
      <c r="D27" s="204"/>
      <c r="E27" s="204"/>
      <c r="F27" s="204"/>
      <c r="G27" s="204"/>
      <c r="H27" s="204"/>
      <c r="I27" s="204"/>
      <c r="J27" s="204"/>
      <c r="K27" s="204"/>
      <c r="L27" s="204"/>
      <c r="M27" s="204"/>
    </row>
    <row r="28" spans="1:13" ht="15.75">
      <c r="A28" s="416"/>
      <c r="B28" s="417"/>
      <c r="C28" s="417"/>
      <c r="D28" s="204"/>
      <c r="E28" s="204"/>
      <c r="F28" s="204"/>
      <c r="G28" s="204"/>
      <c r="H28" s="204"/>
      <c r="I28" s="204"/>
      <c r="J28" s="204"/>
      <c r="K28" s="204"/>
      <c r="L28" s="204"/>
      <c r="M28" s="204"/>
    </row>
    <row r="29" spans="1:13" ht="15.75">
      <c r="A29" s="416"/>
      <c r="B29" s="417"/>
      <c r="C29" s="417"/>
      <c r="D29" s="204"/>
      <c r="E29" s="204"/>
      <c r="F29" s="204"/>
      <c r="G29" s="204"/>
      <c r="H29" s="204"/>
      <c r="I29" s="204"/>
      <c r="J29" s="204"/>
      <c r="K29" s="204"/>
      <c r="L29" s="204"/>
      <c r="M29" s="204"/>
    </row>
    <row r="30" spans="1:13" ht="15.75">
      <c r="A30" s="416"/>
      <c r="B30" s="417"/>
      <c r="C30" s="417"/>
      <c r="D30" s="204"/>
      <c r="E30" s="204"/>
      <c r="F30" s="204"/>
      <c r="G30" s="204"/>
      <c r="H30" s="204"/>
      <c r="I30" s="204"/>
      <c r="J30" s="204"/>
      <c r="K30" s="204"/>
      <c r="L30" s="204"/>
      <c r="M30" s="204"/>
    </row>
    <row r="31" spans="1:13" ht="15.75">
      <c r="A31" s="416"/>
      <c r="B31" s="417"/>
      <c r="C31" s="417"/>
      <c r="D31" s="204"/>
      <c r="E31" s="204"/>
      <c r="F31" s="204"/>
      <c r="G31" s="204"/>
      <c r="H31" s="204"/>
      <c r="I31" s="204"/>
      <c r="J31" s="204"/>
      <c r="K31" s="204"/>
      <c r="L31" s="204"/>
      <c r="M31" s="204"/>
    </row>
    <row r="32" spans="1:13" ht="15.75">
      <c r="A32" s="416"/>
      <c r="B32" s="417"/>
      <c r="C32" s="417"/>
      <c r="D32" s="204"/>
      <c r="E32" s="204"/>
      <c r="F32" s="204"/>
      <c r="G32" s="204"/>
      <c r="H32" s="204"/>
      <c r="I32" s="204"/>
      <c r="J32" s="204"/>
      <c r="K32" s="204"/>
      <c r="L32" s="204"/>
      <c r="M32" s="204"/>
    </row>
    <row r="33" spans="1:13" ht="15.75">
      <c r="A33" s="416"/>
      <c r="B33" s="417"/>
      <c r="C33" s="417"/>
      <c r="D33" s="204"/>
      <c r="E33" s="204"/>
      <c r="F33" s="204"/>
      <c r="G33" s="204"/>
      <c r="H33" s="204"/>
      <c r="I33" s="204"/>
      <c r="J33" s="204"/>
      <c r="K33" s="204"/>
      <c r="L33" s="204"/>
      <c r="M33" s="204"/>
    </row>
    <row r="34" spans="1:13" ht="15.75">
      <c r="A34" s="416"/>
      <c r="B34" s="417"/>
      <c r="C34" s="417"/>
      <c r="D34" s="204"/>
      <c r="E34" s="204"/>
      <c r="F34" s="204"/>
      <c r="G34" s="204"/>
      <c r="H34" s="204"/>
      <c r="I34" s="204"/>
      <c r="J34" s="204"/>
      <c r="K34" s="204"/>
      <c r="L34" s="204"/>
      <c r="M34" s="204"/>
    </row>
    <row r="35" spans="1:13" ht="15.75">
      <c r="A35" s="416"/>
      <c r="B35" s="417"/>
      <c r="C35" s="417"/>
      <c r="D35" s="204"/>
      <c r="E35" s="204"/>
      <c r="F35" s="204"/>
      <c r="G35" s="204"/>
      <c r="H35" s="204"/>
      <c r="I35" s="204"/>
      <c r="J35" s="204"/>
      <c r="K35" s="204"/>
      <c r="L35" s="204"/>
      <c r="M35" s="204"/>
    </row>
    <row r="36" spans="4:13" ht="12.75">
      <c r="D36" s="204"/>
      <c r="E36" s="204"/>
      <c r="F36" s="204"/>
      <c r="G36" s="204"/>
      <c r="H36" s="204"/>
      <c r="I36" s="204"/>
      <c r="J36" s="204"/>
      <c r="K36" s="204"/>
      <c r="L36" s="204"/>
      <c r="M36" s="204"/>
    </row>
    <row r="37" spans="1:13" ht="12.75">
      <c r="A37" s="294" t="s">
        <v>224</v>
      </c>
      <c r="D37" s="204" t="s">
        <v>228</v>
      </c>
      <c r="E37" s="204" t="s">
        <v>229</v>
      </c>
      <c r="F37" s="204"/>
      <c r="G37" s="204"/>
      <c r="H37" s="204"/>
      <c r="I37" s="204"/>
      <c r="J37" s="204"/>
      <c r="K37" s="204"/>
      <c r="L37" s="204"/>
      <c r="M37" s="204"/>
    </row>
    <row r="38" spans="1:13" ht="12.75">
      <c r="A38" s="174" t="s">
        <v>225</v>
      </c>
      <c r="B38" s="290">
        <v>1781090.6794033237</v>
      </c>
      <c r="C38" s="290">
        <v>1781090.6794033237</v>
      </c>
      <c r="D38" s="204"/>
      <c r="E38" s="204"/>
      <c r="F38" s="204"/>
      <c r="G38" s="204"/>
      <c r="H38" s="204"/>
      <c r="I38" s="204"/>
      <c r="J38" s="204"/>
      <c r="K38" s="204"/>
      <c r="L38" s="204"/>
      <c r="M38" s="204"/>
    </row>
    <row r="39" spans="1:13" ht="12.75">
      <c r="A39" s="291" t="s">
        <v>226</v>
      </c>
      <c r="B39" s="290">
        <f>B40-B38</f>
        <v>5721419.851787686</v>
      </c>
      <c r="C39" s="290">
        <f>C40-C38</f>
        <v>5656372.057893628</v>
      </c>
      <c r="D39" s="204">
        <v>338677</v>
      </c>
      <c r="E39" s="296">
        <f>C39-D39</f>
        <v>5317695.057893628</v>
      </c>
      <c r="F39" s="204"/>
      <c r="G39" s="205"/>
      <c r="H39" s="205"/>
      <c r="I39" s="205"/>
      <c r="J39" s="204"/>
      <c r="K39" s="204"/>
      <c r="L39" s="204"/>
      <c r="M39" s="204"/>
    </row>
    <row r="40" spans="1:13" ht="12.75">
      <c r="A40" s="292" t="s">
        <v>0</v>
      </c>
      <c r="B40" s="293">
        <f>B17</f>
        <v>7502510.53119101</v>
      </c>
      <c r="C40" s="293">
        <f>C17</f>
        <v>7437462.737296952</v>
      </c>
      <c r="D40" s="204"/>
      <c r="E40" s="204"/>
      <c r="F40" s="204"/>
      <c r="G40" s="205"/>
      <c r="H40" s="205"/>
      <c r="I40" s="205"/>
      <c r="J40" s="204"/>
      <c r="K40" s="204"/>
      <c r="L40" s="204"/>
      <c r="M40" s="204"/>
    </row>
    <row r="41" spans="4:13" ht="12.75">
      <c r="D41" s="204"/>
      <c r="E41" s="204"/>
      <c r="F41" s="204"/>
      <c r="G41" s="205"/>
      <c r="H41" s="205"/>
      <c r="I41" s="205"/>
      <c r="J41" s="204"/>
      <c r="K41" s="204"/>
      <c r="L41" s="204"/>
      <c r="M41" s="204"/>
    </row>
    <row r="42" spans="4:13" ht="12.75">
      <c r="D42" s="204"/>
      <c r="E42" s="204"/>
      <c r="F42" s="204"/>
      <c r="G42" s="204"/>
      <c r="H42" s="204"/>
      <c r="I42" s="204"/>
      <c r="J42" s="204"/>
      <c r="K42" s="204"/>
      <c r="L42" s="204"/>
      <c r="M42" s="204"/>
    </row>
    <row r="43" spans="4:13" ht="12.75">
      <c r="D43" s="204"/>
      <c r="E43" s="204"/>
      <c r="F43" s="204"/>
      <c r="G43" s="204"/>
      <c r="H43" s="204"/>
      <c r="I43" s="204"/>
      <c r="J43" s="204"/>
      <c r="K43" s="204"/>
      <c r="L43" s="204"/>
      <c r="M43" s="204"/>
    </row>
    <row r="44" spans="3:13" ht="12.75">
      <c r="C44" s="105" t="s">
        <v>235</v>
      </c>
      <c r="D44" s="105" t="s">
        <v>237</v>
      </c>
      <c r="E44" s="204"/>
      <c r="F44" s="204"/>
      <c r="G44" s="204"/>
      <c r="H44" s="204"/>
      <c r="I44" s="204"/>
      <c r="J44" s="204"/>
      <c r="K44" s="204"/>
      <c r="L44" s="204"/>
      <c r="M44" s="204"/>
    </row>
    <row r="45" spans="1:13" ht="12.75">
      <c r="A45" s="294"/>
      <c r="C45" s="297">
        <f>B38</f>
        <v>1781090.6794033237</v>
      </c>
      <c r="D45" s="297">
        <f>C45</f>
        <v>1781090.6794033237</v>
      </c>
      <c r="E45" s="204"/>
      <c r="F45" s="204"/>
      <c r="G45" s="204"/>
      <c r="H45" s="204"/>
      <c r="I45" s="204"/>
      <c r="J45" s="204"/>
      <c r="K45" s="204"/>
      <c r="L45" s="204"/>
      <c r="M45" s="204"/>
    </row>
    <row r="46" spans="1:13" ht="12.75">
      <c r="A46" s="105" t="s">
        <v>230</v>
      </c>
      <c r="E46" s="204"/>
      <c r="F46" s="204"/>
      <c r="G46" s="204"/>
      <c r="H46" s="204"/>
      <c r="I46" s="204"/>
      <c r="J46" s="204"/>
      <c r="K46" s="204"/>
      <c r="L46" s="204"/>
      <c r="M46" s="204"/>
    </row>
    <row r="47" spans="1:13" ht="12.75">
      <c r="A47" s="105" t="s">
        <v>231</v>
      </c>
      <c r="C47" s="153">
        <f>RIPARTO!H4+RIPARTO!K4</f>
        <v>461882</v>
      </c>
      <c r="D47" s="153">
        <v>237500</v>
      </c>
      <c r="E47" s="204"/>
      <c r="F47" s="204"/>
      <c r="G47" s="204"/>
      <c r="H47" s="204"/>
      <c r="I47" s="204"/>
      <c r="J47" s="204"/>
      <c r="K47" s="204"/>
      <c r="L47" s="204"/>
      <c r="M47" s="204"/>
    </row>
    <row r="48" spans="1:4" ht="12.75">
      <c r="A48" s="105" t="s">
        <v>232</v>
      </c>
      <c r="C48" s="153">
        <f>RIPARTO!AI4</f>
        <v>113770</v>
      </c>
      <c r="D48" s="153">
        <v>38325</v>
      </c>
    </row>
    <row r="49" spans="1:4" ht="12.75">
      <c r="A49" s="105" t="s">
        <v>233</v>
      </c>
      <c r="C49" s="153">
        <f>RIPARTO!T4</f>
        <v>100000</v>
      </c>
      <c r="D49" s="153">
        <v>33333</v>
      </c>
    </row>
    <row r="50" spans="1:4" ht="12.75">
      <c r="A50" s="105" t="s">
        <v>234</v>
      </c>
      <c r="C50" s="153">
        <f>RIPARTO!Z4</f>
        <v>69523</v>
      </c>
      <c r="D50" s="153">
        <v>29518</v>
      </c>
    </row>
    <row r="51" spans="1:4" ht="12.75">
      <c r="A51" s="294" t="s">
        <v>236</v>
      </c>
      <c r="C51" s="297">
        <f>SUM(C47:C50)</f>
        <v>745175</v>
      </c>
      <c r="D51" s="297">
        <f>SUM(D47:D50)</f>
        <v>338676</v>
      </c>
    </row>
    <row r="52" spans="3:4" ht="12.75">
      <c r="C52" s="153">
        <f>C53-C51-C45</f>
        <v>4976244.851787686</v>
      </c>
      <c r="D52" s="153">
        <f>D53-D51-D45</f>
        <v>5317696.057893628</v>
      </c>
    </row>
    <row r="53" spans="3:4" ht="12.75">
      <c r="C53" s="153">
        <f>B17</f>
        <v>7502510.53119101</v>
      </c>
      <c r="D53" s="153">
        <f>C17</f>
        <v>7437462.737296952</v>
      </c>
    </row>
  </sheetData>
  <sheetProtection/>
  <mergeCells count="3">
    <mergeCell ref="A5:B5"/>
    <mergeCell ref="C5:E5"/>
    <mergeCell ref="A2:E2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80" r:id="rId1"/>
  <headerFooter alignWithMargins="0">
    <oddFooter>&amp;C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4" width="25.140625" style="0" customWidth="1"/>
  </cols>
  <sheetData>
    <row r="1" spans="1:4" ht="12.75">
      <c r="A1" s="468" t="s">
        <v>215</v>
      </c>
      <c r="B1" s="468"/>
      <c r="C1" s="468"/>
      <c r="D1" s="468"/>
    </row>
    <row r="2" spans="1:4" ht="12.75">
      <c r="A2" s="468"/>
      <c r="B2" s="468"/>
      <c r="C2" s="468"/>
      <c r="D2" s="468"/>
    </row>
    <row r="3" spans="1:4" ht="12.75">
      <c r="A3" s="468"/>
      <c r="B3" s="468"/>
      <c r="C3" s="468"/>
      <c r="D3" s="468"/>
    </row>
    <row r="4" spans="1:4" ht="26.25">
      <c r="A4" s="44"/>
      <c r="B4" s="43"/>
      <c r="C4" s="43"/>
      <c r="D4" s="43"/>
    </row>
    <row r="5" spans="1:4" ht="26.25">
      <c r="A5" s="44"/>
      <c r="B5" s="88"/>
      <c r="C5" s="43"/>
      <c r="D5" s="43"/>
    </row>
    <row r="6" spans="1:4" ht="12.75">
      <c r="A6" s="462" t="s">
        <v>270</v>
      </c>
      <c r="B6" s="463"/>
      <c r="C6" s="463"/>
      <c r="D6" s="464"/>
    </row>
    <row r="7" spans="1:4" ht="12.75">
      <c r="A7" s="465"/>
      <c r="B7" s="466"/>
      <c r="C7" s="466"/>
      <c r="D7" s="467"/>
    </row>
    <row r="8" spans="1:4" ht="47.25">
      <c r="A8" s="209"/>
      <c r="B8" s="269" t="s">
        <v>239</v>
      </c>
      <c r="C8" s="269" t="s">
        <v>240</v>
      </c>
      <c r="D8" s="210" t="s">
        <v>208</v>
      </c>
    </row>
    <row r="9" spans="1:8" ht="15" hidden="1">
      <c r="A9" s="400" t="s">
        <v>262</v>
      </c>
      <c r="B9" s="244">
        <v>28158.839528201923</v>
      </c>
      <c r="C9" s="244">
        <f>19100/8*12</f>
        <v>28650</v>
      </c>
      <c r="D9" s="244">
        <f>B9-C9</f>
        <v>-491.1604717980772</v>
      </c>
      <c r="E9" s="105" t="s">
        <v>278</v>
      </c>
      <c r="H9">
        <f>30*52</f>
        <v>1560</v>
      </c>
    </row>
    <row r="10" spans="1:8" ht="15" hidden="1">
      <c r="A10" s="400" t="s">
        <v>263</v>
      </c>
      <c r="B10" s="244">
        <v>0</v>
      </c>
      <c r="C10" s="244">
        <f>(7522+2186+606)/3.5*7.5</f>
        <v>22101.42857142857</v>
      </c>
      <c r="D10" s="244">
        <f>B10-C10</f>
        <v>-22101.42857142857</v>
      </c>
      <c r="E10" s="105" t="s">
        <v>279</v>
      </c>
      <c r="H10">
        <f>32*36</f>
        <v>1152</v>
      </c>
    </row>
    <row r="11" spans="1:8" ht="15" hidden="1">
      <c r="A11" s="400" t="s">
        <v>276</v>
      </c>
      <c r="B11" s="244"/>
      <c r="C11" s="244">
        <f>(17633+4799+1411)/8*4</f>
        <v>11921.5</v>
      </c>
      <c r="D11" s="244"/>
      <c r="E11" s="105" t="s">
        <v>280</v>
      </c>
      <c r="H11">
        <f>17*36</f>
        <v>612</v>
      </c>
    </row>
    <row r="12" spans="1:8" ht="15" hidden="1">
      <c r="A12" s="400" t="s">
        <v>277</v>
      </c>
      <c r="B12" s="244"/>
      <c r="C12" s="244">
        <f>C11/2</f>
        <v>5960.75</v>
      </c>
      <c r="D12" s="244"/>
      <c r="E12" s="105" t="s">
        <v>281</v>
      </c>
      <c r="H12">
        <f>18*17</f>
        <v>306</v>
      </c>
    </row>
    <row r="13" spans="1:4" ht="30">
      <c r="A13" s="445" t="s">
        <v>282</v>
      </c>
      <c r="B13" s="189"/>
      <c r="C13" s="206">
        <f>C14</f>
        <v>71379.02571428572</v>
      </c>
      <c r="D13" s="189"/>
    </row>
    <row r="14" spans="1:4" ht="15.75">
      <c r="A14" s="86" t="s">
        <v>0</v>
      </c>
      <c r="B14" s="245"/>
      <c r="C14" s="245">
        <f>SUM(C9:C12)*1.04</f>
        <v>71379.02571428572</v>
      </c>
      <c r="D14" s="245"/>
    </row>
    <row r="17" ht="12.75">
      <c r="C17">
        <f>17.94*1.04</f>
        <v>18.657600000000002</v>
      </c>
    </row>
  </sheetData>
  <sheetProtection/>
  <mergeCells count="2">
    <mergeCell ref="A1:D3"/>
    <mergeCell ref="A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6"/>
  <sheetViews>
    <sheetView zoomScale="75" zoomScaleNormal="75" zoomScalePageLayoutView="0" workbookViewId="0" topLeftCell="A12">
      <selection activeCell="E41" sqref="E41"/>
    </sheetView>
  </sheetViews>
  <sheetFormatPr defaultColWidth="9.140625" defaultRowHeight="12.75"/>
  <cols>
    <col min="1" max="1" width="19.57421875" style="0" customWidth="1"/>
    <col min="2" max="2" width="9.28125" style="0" customWidth="1"/>
    <col min="3" max="3" width="12.8515625" style="0" customWidth="1"/>
    <col min="4" max="4" width="18.140625" style="0" customWidth="1"/>
    <col min="5" max="5" width="16.57421875" style="0" bestFit="1" customWidth="1"/>
    <col min="6" max="6" width="12.8515625" style="7" customWidth="1"/>
    <col min="8" max="8" width="22.8515625" style="0" bestFit="1" customWidth="1"/>
  </cols>
  <sheetData>
    <row r="2" spans="1:6" ht="50.25" customHeight="1">
      <c r="A2" s="477" t="s">
        <v>173</v>
      </c>
      <c r="B2" s="477"/>
      <c r="C2" s="477"/>
      <c r="D2" s="477"/>
      <c r="E2" s="477"/>
      <c r="F2" s="477"/>
    </row>
    <row r="3" spans="1:6" ht="12.75">
      <c r="A3" s="8"/>
      <c r="B3" s="8"/>
      <c r="C3" s="8"/>
      <c r="D3" s="8"/>
      <c r="E3" s="8"/>
      <c r="F3" s="226"/>
    </row>
    <row r="4" ht="13.5" thickBot="1"/>
    <row r="5" spans="1:6" ht="16.5" thickBot="1">
      <c r="A5" s="474" t="s">
        <v>11</v>
      </c>
      <c r="B5" s="475"/>
      <c r="C5" s="475"/>
      <c r="D5" s="476"/>
      <c r="E5" s="478" t="s">
        <v>167</v>
      </c>
      <c r="F5" s="479"/>
    </row>
    <row r="6" spans="1:6" ht="12.75">
      <c r="A6" s="9"/>
      <c r="B6" s="10"/>
      <c r="C6" s="10"/>
      <c r="D6" s="10"/>
      <c r="E6" s="18"/>
      <c r="F6" s="227"/>
    </row>
    <row r="7" spans="1:6" ht="12.75">
      <c r="A7" s="25" t="s">
        <v>110</v>
      </c>
      <c r="B7" s="10"/>
      <c r="C7" s="10"/>
      <c r="D7" s="10"/>
      <c r="E7" s="11"/>
      <c r="F7" s="228"/>
    </row>
    <row r="8" spans="1:6" ht="12.75">
      <c r="A8" s="9"/>
      <c r="B8" s="10"/>
      <c r="C8" s="32" t="s">
        <v>116</v>
      </c>
      <c r="D8" s="33"/>
      <c r="E8" s="34">
        <v>140000</v>
      </c>
      <c r="F8" s="229">
        <f>E8/3</f>
        <v>46666.666666666664</v>
      </c>
    </row>
    <row r="9" spans="1:6" ht="12.75">
      <c r="A9" s="9"/>
      <c r="B9" s="10"/>
      <c r="C9" s="30" t="s">
        <v>117</v>
      </c>
      <c r="D9" s="26"/>
      <c r="E9" s="35">
        <v>250000</v>
      </c>
      <c r="F9" s="229">
        <f aca="true" t="shared" si="0" ref="F9:F39">E9/3</f>
        <v>83333.33333333333</v>
      </c>
    </row>
    <row r="10" spans="1:6" ht="12.75">
      <c r="A10" s="9"/>
      <c r="B10" s="10"/>
      <c r="C10" s="30" t="s">
        <v>111</v>
      </c>
      <c r="D10" s="26"/>
      <c r="E10" s="35"/>
      <c r="F10" s="229"/>
    </row>
    <row r="11" spans="1:6" ht="12.75">
      <c r="A11" s="9"/>
      <c r="B11" s="10"/>
      <c r="C11" s="22"/>
      <c r="D11" s="10"/>
      <c r="E11" s="36"/>
      <c r="F11" s="229"/>
    </row>
    <row r="12" spans="1:6" ht="13.5" thickBot="1">
      <c r="A12" s="9"/>
      <c r="B12" s="10"/>
      <c r="C12" s="17" t="s">
        <v>5</v>
      </c>
      <c r="D12" s="16"/>
      <c r="E12" s="19">
        <f>SUM(E8:E11)</f>
        <v>390000</v>
      </c>
      <c r="F12" s="229">
        <f t="shared" si="0"/>
        <v>130000</v>
      </c>
    </row>
    <row r="13" spans="1:6" ht="13.5" thickTop="1">
      <c r="A13" s="9"/>
      <c r="B13" s="10"/>
      <c r="C13" s="10"/>
      <c r="D13" s="10"/>
      <c r="E13" s="11"/>
      <c r="F13" s="229">
        <f t="shared" si="0"/>
        <v>0</v>
      </c>
    </row>
    <row r="14" spans="1:6" ht="12.75">
      <c r="A14" s="25" t="s">
        <v>13</v>
      </c>
      <c r="B14" s="10"/>
      <c r="C14" s="10"/>
      <c r="D14" s="10"/>
      <c r="E14" s="11"/>
      <c r="F14" s="229">
        <f t="shared" si="0"/>
        <v>0</v>
      </c>
    </row>
    <row r="15" spans="1:6" ht="12.75">
      <c r="A15" s="9"/>
      <c r="B15" s="10"/>
      <c r="C15" s="473" t="s">
        <v>93</v>
      </c>
      <c r="D15" s="473"/>
      <c r="E15" s="11"/>
      <c r="F15" s="229">
        <f t="shared" si="0"/>
        <v>0</v>
      </c>
    </row>
    <row r="16" spans="1:6" ht="12.75">
      <c r="A16" s="9"/>
      <c r="B16" s="10"/>
      <c r="C16" s="472" t="s">
        <v>12</v>
      </c>
      <c r="D16" s="472"/>
      <c r="E16" s="54">
        <f>RIPARTO!AJ19</f>
        <v>312726.2</v>
      </c>
      <c r="F16" s="229">
        <f t="shared" si="0"/>
        <v>104242.06666666667</v>
      </c>
    </row>
    <row r="17" spans="1:6" ht="13.5" thickBot="1">
      <c r="A17" s="9"/>
      <c r="B17" s="10"/>
      <c r="C17" s="15" t="s">
        <v>5</v>
      </c>
      <c r="D17" s="15"/>
      <c r="E17" s="19">
        <f>E16</f>
        <v>312726.2</v>
      </c>
      <c r="F17" s="229">
        <f t="shared" si="0"/>
        <v>104242.06666666667</v>
      </c>
    </row>
    <row r="18" spans="1:6" ht="13.5" thickTop="1">
      <c r="A18" s="9"/>
      <c r="B18" s="10"/>
      <c r="C18" s="10"/>
      <c r="D18" s="10"/>
      <c r="E18" s="11"/>
      <c r="F18" s="229">
        <f t="shared" si="0"/>
        <v>0</v>
      </c>
    </row>
    <row r="19" spans="1:6" ht="12.75">
      <c r="A19" s="25" t="s">
        <v>21</v>
      </c>
      <c r="B19" s="10"/>
      <c r="C19" s="10"/>
      <c r="D19" s="10"/>
      <c r="E19" s="11"/>
      <c r="F19" s="229">
        <f t="shared" si="0"/>
        <v>0</v>
      </c>
    </row>
    <row r="20" spans="1:6" ht="12.75">
      <c r="A20" s="9"/>
      <c r="B20" s="10"/>
      <c r="C20" s="473" t="s">
        <v>12</v>
      </c>
      <c r="D20" s="473"/>
      <c r="E20" s="11"/>
      <c r="F20" s="229">
        <f t="shared" si="0"/>
        <v>0</v>
      </c>
    </row>
    <row r="21" spans="1:6" ht="13.5" thickBot="1">
      <c r="A21" s="9"/>
      <c r="B21" s="10"/>
      <c r="C21" s="15" t="s">
        <v>5</v>
      </c>
      <c r="D21" s="15"/>
      <c r="E21" s="91"/>
      <c r="F21" s="229">
        <f t="shared" si="0"/>
        <v>0</v>
      </c>
    </row>
    <row r="22" spans="1:6" ht="13.5" thickTop="1">
      <c r="A22" s="9"/>
      <c r="B22" s="10"/>
      <c r="C22" s="10"/>
      <c r="D22" s="10"/>
      <c r="E22" s="11"/>
      <c r="F22" s="229">
        <f t="shared" si="0"/>
        <v>0</v>
      </c>
    </row>
    <row r="23" spans="1:10" ht="12.75">
      <c r="A23" s="25"/>
      <c r="B23" s="69"/>
      <c r="C23" s="69"/>
      <c r="D23" s="69"/>
      <c r="E23" s="150"/>
      <c r="F23" s="229">
        <f t="shared" si="0"/>
        <v>0</v>
      </c>
      <c r="G23" s="105"/>
      <c r="H23" s="105"/>
      <c r="I23" s="105"/>
      <c r="J23" s="105"/>
    </row>
    <row r="24" spans="1:6" ht="12.75">
      <c r="A24" s="25"/>
      <c r="B24" s="10"/>
      <c r="C24" s="22" t="s">
        <v>94</v>
      </c>
      <c r="D24" s="10"/>
      <c r="E24" s="122"/>
      <c r="F24" s="229">
        <f t="shared" si="0"/>
        <v>0</v>
      </c>
    </row>
    <row r="25" spans="1:6" ht="12.75">
      <c r="A25" s="9"/>
      <c r="B25" s="10"/>
      <c r="C25" s="22" t="s">
        <v>15</v>
      </c>
      <c r="D25" s="10"/>
      <c r="E25" s="122"/>
      <c r="F25" s="229">
        <f t="shared" si="0"/>
        <v>0</v>
      </c>
    </row>
    <row r="26" spans="1:6" ht="12.75">
      <c r="A26" s="9"/>
      <c r="B26" s="10"/>
      <c r="C26" s="22" t="s">
        <v>17</v>
      </c>
      <c r="D26" s="10"/>
      <c r="E26" s="122"/>
      <c r="F26" s="229">
        <f t="shared" si="0"/>
        <v>0</v>
      </c>
    </row>
    <row r="27" spans="1:6" ht="13.5" thickBot="1">
      <c r="A27" s="9"/>
      <c r="B27" s="10"/>
      <c r="C27" s="17" t="s">
        <v>5</v>
      </c>
      <c r="D27" s="16"/>
      <c r="E27" s="123">
        <f>E24+E25+E26</f>
        <v>0</v>
      </c>
      <c r="F27" s="229">
        <f t="shared" si="0"/>
        <v>0</v>
      </c>
    </row>
    <row r="28" spans="1:6" ht="13.5" thickTop="1">
      <c r="A28" s="9"/>
      <c r="B28" s="10"/>
      <c r="C28" s="10"/>
      <c r="D28" s="10"/>
      <c r="E28" s="11"/>
      <c r="F28" s="229">
        <f t="shared" si="0"/>
        <v>0</v>
      </c>
    </row>
    <row r="29" spans="1:6" ht="13.5" thickBot="1">
      <c r="A29" s="9"/>
      <c r="B29" s="10"/>
      <c r="C29" s="17" t="s">
        <v>16</v>
      </c>
      <c r="D29" s="16"/>
      <c r="E29" s="92">
        <f>E27+E21+E17+E12</f>
        <v>702726.2</v>
      </c>
      <c r="F29" s="229">
        <f t="shared" si="0"/>
        <v>234242.06666666665</v>
      </c>
    </row>
    <row r="30" spans="1:6" ht="13.5" thickTop="1">
      <c r="A30" s="9"/>
      <c r="B30" s="10"/>
      <c r="C30" s="22"/>
      <c r="D30" s="10"/>
      <c r="E30" s="93"/>
      <c r="F30" s="229">
        <f t="shared" si="0"/>
        <v>0</v>
      </c>
    </row>
    <row r="31" spans="1:6" ht="12.75">
      <c r="A31" s="9"/>
      <c r="B31" s="10"/>
      <c r="C31" s="22"/>
      <c r="D31" s="10"/>
      <c r="E31" s="93"/>
      <c r="F31" s="229">
        <f t="shared" si="0"/>
        <v>0</v>
      </c>
    </row>
    <row r="32" spans="1:6" ht="13.5" thickBot="1">
      <c r="A32" s="9"/>
      <c r="B32" s="10"/>
      <c r="C32" s="10"/>
      <c r="D32" s="10"/>
      <c r="E32" s="11"/>
      <c r="F32" s="229">
        <f t="shared" si="0"/>
        <v>0</v>
      </c>
    </row>
    <row r="33" spans="1:6" ht="16.5" thickBot="1">
      <c r="A33" s="474" t="s">
        <v>18</v>
      </c>
      <c r="B33" s="475"/>
      <c r="C33" s="475"/>
      <c r="D33" s="476"/>
      <c r="E33" s="11"/>
      <c r="F33" s="229">
        <f t="shared" si="0"/>
        <v>0</v>
      </c>
    </row>
    <row r="34" spans="1:9" ht="12.75">
      <c r="A34" s="9"/>
      <c r="B34" s="10"/>
      <c r="C34" s="10"/>
      <c r="D34" s="10"/>
      <c r="E34" s="11"/>
      <c r="F34" s="229">
        <f t="shared" si="0"/>
        <v>0</v>
      </c>
      <c r="I34" s="218"/>
    </row>
    <row r="35" spans="1:6" ht="12.75">
      <c r="A35" s="9"/>
      <c r="B35" s="10"/>
      <c r="C35" s="22" t="s">
        <v>119</v>
      </c>
      <c r="D35" s="10"/>
      <c r="E35" s="94" t="e">
        <f>'EQ SAD'!#REF!-E36</f>
        <v>#REF!</v>
      </c>
      <c r="F35" s="229" t="e">
        <f t="shared" si="0"/>
        <v>#REF!</v>
      </c>
    </row>
    <row r="36" spans="1:6" ht="12.75">
      <c r="A36" s="9"/>
      <c r="B36" s="10"/>
      <c r="C36" s="22" t="s">
        <v>118</v>
      </c>
      <c r="D36" s="10"/>
      <c r="E36" s="94" t="e">
        <f>'EQ SAD'!#REF!</f>
        <v>#REF!</v>
      </c>
      <c r="F36" s="229" t="e">
        <f t="shared" si="0"/>
        <v>#REF!</v>
      </c>
    </row>
    <row r="37" spans="1:6" ht="12.75">
      <c r="A37" s="9"/>
      <c r="B37" s="10"/>
      <c r="C37" s="22" t="s">
        <v>120</v>
      </c>
      <c r="D37" s="10"/>
      <c r="E37" s="94" t="e">
        <f>'EQ SAD'!#REF!</f>
        <v>#REF!</v>
      </c>
      <c r="F37" s="229" t="e">
        <f t="shared" si="0"/>
        <v>#REF!</v>
      </c>
    </row>
    <row r="38" spans="1:8" ht="12.75">
      <c r="A38" s="9"/>
      <c r="B38" s="10"/>
      <c r="C38" s="22"/>
      <c r="D38" s="10"/>
      <c r="E38" s="93"/>
      <c r="F38" s="229">
        <f t="shared" si="0"/>
        <v>0</v>
      </c>
      <c r="H38" s="180"/>
    </row>
    <row r="39" spans="1:8" ht="13.5" thickBot="1">
      <c r="A39" s="9"/>
      <c r="B39" s="10"/>
      <c r="C39" s="17" t="s">
        <v>6</v>
      </c>
      <c r="D39" s="16"/>
      <c r="E39" s="92" t="e">
        <f>SUM(E35:E38)</f>
        <v>#REF!</v>
      </c>
      <c r="F39" s="229" t="e">
        <f t="shared" si="0"/>
        <v>#REF!</v>
      </c>
      <c r="H39" s="201"/>
    </row>
    <row r="40" spans="1:6" ht="14.25" thickBot="1" thickTop="1">
      <c r="A40" s="9"/>
      <c r="B40" s="10"/>
      <c r="C40" s="10"/>
      <c r="D40" s="10"/>
      <c r="E40" s="11"/>
      <c r="F40" s="228"/>
    </row>
    <row r="41" spans="1:6" ht="16.5" thickBot="1">
      <c r="A41" s="23" t="s">
        <v>20</v>
      </c>
      <c r="B41" s="24"/>
      <c r="C41" s="24"/>
      <c r="D41" s="24"/>
      <c r="E41" s="14" t="e">
        <f>E29-E39</f>
        <v>#REF!</v>
      </c>
      <c r="F41" s="235"/>
    </row>
    <row r="44" spans="1:6" ht="12.75">
      <c r="A44" s="27"/>
      <c r="B44" s="27"/>
      <c r="C44" s="27"/>
      <c r="D44" s="27"/>
      <c r="E44" s="27"/>
      <c r="F44" s="236"/>
    </row>
    <row r="45" ht="12.75" hidden="1">
      <c r="A45" t="s">
        <v>39</v>
      </c>
    </row>
    <row r="46" ht="12.75" hidden="1">
      <c r="A46" t="s">
        <v>40</v>
      </c>
    </row>
  </sheetData>
  <sheetProtection/>
  <mergeCells count="7">
    <mergeCell ref="A2:F2"/>
    <mergeCell ref="A5:D5"/>
    <mergeCell ref="E5:F5"/>
    <mergeCell ref="A33:D33"/>
    <mergeCell ref="C15:D15"/>
    <mergeCell ref="C16:D16"/>
    <mergeCell ref="C20:D2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="75" zoomScaleNormal="75" zoomScalePageLayoutView="0" workbookViewId="0" topLeftCell="A1">
      <selection activeCell="H5" sqref="H5"/>
    </sheetView>
  </sheetViews>
  <sheetFormatPr defaultColWidth="9.140625" defaultRowHeight="12.75"/>
  <cols>
    <col min="1" max="1" width="54.7109375" style="0" bestFit="1" customWidth="1"/>
    <col min="2" max="2" width="14.28125" style="0" hidden="1" customWidth="1"/>
    <col min="3" max="3" width="20.57421875" style="0" hidden="1" customWidth="1"/>
    <col min="4" max="4" width="8.8515625" style="0" hidden="1" customWidth="1"/>
    <col min="5" max="5" width="11.28125" style="0" hidden="1" customWidth="1"/>
    <col min="6" max="6" width="11.28125" style="0" customWidth="1"/>
    <col min="7" max="7" width="16.421875" style="0" bestFit="1" customWidth="1"/>
    <col min="8" max="8" width="19.8515625" style="0" customWidth="1"/>
    <col min="9" max="9" width="18.7109375" style="0" customWidth="1"/>
  </cols>
  <sheetData>
    <row r="1" spans="1:10" ht="53.25" customHeight="1">
      <c r="A1" s="493" t="s">
        <v>271</v>
      </c>
      <c r="B1" s="494"/>
      <c r="C1" s="494"/>
      <c r="D1" s="494"/>
      <c r="E1" s="494"/>
      <c r="F1" s="494"/>
      <c r="G1" s="494"/>
      <c r="H1" s="494"/>
      <c r="I1" s="495"/>
      <c r="J1" s="105"/>
    </row>
    <row r="2" spans="1:10" s="1" customFormat="1" ht="47.25">
      <c r="A2" s="496" t="s">
        <v>7</v>
      </c>
      <c r="B2" s="496"/>
      <c r="C2" s="496"/>
      <c r="D2" s="496"/>
      <c r="E2" s="496"/>
      <c r="F2" s="496"/>
      <c r="G2" s="269" t="s">
        <v>239</v>
      </c>
      <c r="H2" s="269" t="s">
        <v>240</v>
      </c>
      <c r="I2" s="210" t="s">
        <v>208</v>
      </c>
      <c r="J2" s="106"/>
    </row>
    <row r="3" spans="1:10" s="1" customFormat="1" ht="38.25" customHeight="1">
      <c r="A3" s="498" t="s">
        <v>149</v>
      </c>
      <c r="B3" s="498"/>
      <c r="C3" s="498"/>
      <c r="D3" s="498"/>
      <c r="E3" s="498"/>
      <c r="F3" s="498"/>
      <c r="G3" s="256"/>
      <c r="H3" s="257"/>
      <c r="I3" s="258">
        <f>G3-H3</f>
        <v>0</v>
      </c>
      <c r="J3" s="106"/>
    </row>
    <row r="4" spans="1:10" s="1" customFormat="1" ht="38.25" customHeight="1">
      <c r="A4" s="498" t="s">
        <v>106</v>
      </c>
      <c r="B4" s="498"/>
      <c r="C4" s="498"/>
      <c r="D4" s="498"/>
      <c r="E4" s="498"/>
      <c r="F4" s="498"/>
      <c r="G4" s="259">
        <v>6000</v>
      </c>
      <c r="H4" s="257">
        <v>5000</v>
      </c>
      <c r="I4" s="258">
        <f>G4-H4</f>
        <v>1000</v>
      </c>
      <c r="J4" s="106"/>
    </row>
    <row r="5" spans="1:10" s="1" customFormat="1" ht="38.25" customHeight="1">
      <c r="A5" s="498" t="s">
        <v>36</v>
      </c>
      <c r="B5" s="498"/>
      <c r="C5" s="498"/>
      <c r="D5" s="498"/>
      <c r="E5" s="498"/>
      <c r="F5" s="498"/>
      <c r="G5" s="259">
        <v>15000</v>
      </c>
      <c r="H5" s="257">
        <v>10000</v>
      </c>
      <c r="I5" s="258">
        <f>G5-H5</f>
        <v>5000</v>
      </c>
      <c r="J5" s="106"/>
    </row>
    <row r="6" spans="1:10" s="1" customFormat="1" ht="38.25" customHeight="1">
      <c r="A6" s="498" t="s">
        <v>8</v>
      </c>
      <c r="B6" s="498"/>
      <c r="C6" s="498"/>
      <c r="D6" s="498"/>
      <c r="E6" s="498"/>
      <c r="F6" s="498"/>
      <c r="G6" s="259">
        <v>11200</v>
      </c>
      <c r="H6" s="257">
        <v>11200</v>
      </c>
      <c r="I6" s="258">
        <f>G6-H6</f>
        <v>0</v>
      </c>
      <c r="J6" s="106"/>
    </row>
    <row r="7" spans="1:10" s="1" customFormat="1" ht="38.25" customHeight="1">
      <c r="A7" s="498" t="s">
        <v>9</v>
      </c>
      <c r="B7" s="498"/>
      <c r="C7" s="498"/>
      <c r="D7" s="498"/>
      <c r="E7" s="498"/>
      <c r="F7" s="498"/>
      <c r="G7" s="259">
        <v>5000</v>
      </c>
      <c r="H7" s="257">
        <v>5000</v>
      </c>
      <c r="I7" s="258">
        <f>G7-H7</f>
        <v>0</v>
      </c>
      <c r="J7" s="106"/>
    </row>
    <row r="8" spans="1:10" s="1" customFormat="1" ht="38.25" customHeight="1">
      <c r="A8" s="497" t="s">
        <v>61</v>
      </c>
      <c r="B8" s="497"/>
      <c r="C8" s="497"/>
      <c r="D8" s="497"/>
      <c r="E8" s="497"/>
      <c r="F8" s="497"/>
      <c r="G8" s="259">
        <f>SUM(G4:G7)</f>
        <v>37200</v>
      </c>
      <c r="H8" s="259">
        <f>SUM(H3:H7)</f>
        <v>31200</v>
      </c>
      <c r="I8" s="259">
        <f>SUM(I3:I7)</f>
        <v>6000</v>
      </c>
      <c r="J8" s="106"/>
    </row>
    <row r="9" spans="1:10" ht="12.75">
      <c r="A9" s="105"/>
      <c r="B9" s="105"/>
      <c r="C9" s="105"/>
      <c r="D9" s="105"/>
      <c r="E9" s="105"/>
      <c r="F9" s="105"/>
      <c r="G9" s="105"/>
      <c r="H9" s="105"/>
      <c r="I9" s="105"/>
      <c r="J9" s="105"/>
    </row>
    <row r="10" spans="1:10" ht="12.75">
      <c r="A10" s="107"/>
      <c r="B10" s="107"/>
      <c r="C10" s="107"/>
      <c r="D10" s="107"/>
      <c r="E10" s="107"/>
      <c r="F10" s="107"/>
      <c r="G10" s="107"/>
      <c r="H10" s="107"/>
      <c r="I10" s="107"/>
      <c r="J10" s="105"/>
    </row>
    <row r="11" spans="1:10" ht="12.75">
      <c r="A11" s="105"/>
      <c r="B11" s="105"/>
      <c r="C11" s="105"/>
      <c r="D11" s="105" t="s">
        <v>30</v>
      </c>
      <c r="E11" s="105"/>
      <c r="F11" s="105"/>
      <c r="G11" s="105"/>
      <c r="H11" s="105"/>
      <c r="I11" s="105"/>
      <c r="J11" s="105"/>
    </row>
    <row r="12" spans="1:10" ht="13.5" thickBo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</row>
    <row r="13" spans="1:10" ht="18.75" thickBot="1">
      <c r="A13" s="490" t="s">
        <v>62</v>
      </c>
      <c r="B13" s="491"/>
      <c r="C13" s="491"/>
      <c r="D13" s="491"/>
      <c r="E13" s="491"/>
      <c r="F13" s="491"/>
      <c r="G13" s="491"/>
      <c r="H13" s="491"/>
      <c r="I13" s="492"/>
      <c r="J13" s="105"/>
    </row>
    <row r="14" spans="1:10" ht="26.25" thickBot="1">
      <c r="A14" s="108"/>
      <c r="B14" s="109"/>
      <c r="C14" s="109"/>
      <c r="D14" s="109"/>
      <c r="E14" s="109"/>
      <c r="F14" s="31" t="s">
        <v>43</v>
      </c>
      <c r="G14" s="110" t="s">
        <v>48</v>
      </c>
      <c r="H14" s="3" t="s">
        <v>212</v>
      </c>
      <c r="I14" s="3" t="s">
        <v>49</v>
      </c>
      <c r="J14" s="105"/>
    </row>
    <row r="15" spans="1:10" ht="15.75">
      <c r="A15" s="38" t="s">
        <v>8</v>
      </c>
      <c r="B15" s="69"/>
      <c r="C15" s="69"/>
      <c r="D15" s="69"/>
      <c r="E15" s="69"/>
      <c r="F15" s="39">
        <v>20</v>
      </c>
      <c r="G15" s="111">
        <v>1600</v>
      </c>
      <c r="H15" s="40">
        <f>H6</f>
        <v>11200</v>
      </c>
      <c r="I15" s="40">
        <f>H15*0.1</f>
        <v>1120</v>
      </c>
      <c r="J15" s="105"/>
    </row>
    <row r="16" spans="1:10" ht="15.75">
      <c r="A16" s="38" t="s">
        <v>47</v>
      </c>
      <c r="B16" s="69"/>
      <c r="C16" s="69"/>
      <c r="D16" s="69"/>
      <c r="E16" s="69"/>
      <c r="F16" s="39"/>
      <c r="G16" s="111" t="s">
        <v>50</v>
      </c>
      <c r="H16" s="40">
        <f>H5</f>
        <v>10000</v>
      </c>
      <c r="I16" s="40">
        <f>H16*0.2</f>
        <v>2000</v>
      </c>
      <c r="J16" s="105"/>
    </row>
    <row r="17" spans="1:10" ht="15.75">
      <c r="A17" s="38" t="s">
        <v>32</v>
      </c>
      <c r="B17" s="69"/>
      <c r="C17" s="69"/>
      <c r="D17" s="69"/>
      <c r="E17" s="69"/>
      <c r="F17" s="39">
        <v>2</v>
      </c>
      <c r="G17" s="111" t="s">
        <v>51</v>
      </c>
      <c r="H17" s="40"/>
      <c r="I17" s="40">
        <f>H17*0.2</f>
        <v>0</v>
      </c>
      <c r="J17" s="105"/>
    </row>
    <row r="18" spans="1:10" ht="15.75">
      <c r="A18" s="38" t="s">
        <v>203</v>
      </c>
      <c r="B18" s="69"/>
      <c r="C18" s="69"/>
      <c r="D18" s="69"/>
      <c r="E18" s="69"/>
      <c r="F18" s="39">
        <v>20</v>
      </c>
      <c r="G18" s="111">
        <v>2000</v>
      </c>
      <c r="H18" s="40">
        <f>H4</f>
        <v>5000</v>
      </c>
      <c r="I18" s="40">
        <f>H18*1/3</f>
        <v>1666.6666666666667</v>
      </c>
      <c r="J18" s="105"/>
    </row>
    <row r="19" spans="1:10" ht="15.75">
      <c r="A19" s="38" t="s">
        <v>204</v>
      </c>
      <c r="B19" s="69"/>
      <c r="C19" s="69"/>
      <c r="D19" s="69"/>
      <c r="E19" s="69"/>
      <c r="F19" s="39">
        <v>1</v>
      </c>
      <c r="G19" s="111">
        <v>5000</v>
      </c>
      <c r="H19" s="40"/>
      <c r="I19" s="40">
        <f>H19*1/3</f>
        <v>0</v>
      </c>
      <c r="J19" s="105"/>
    </row>
    <row r="20" spans="1:10" ht="15.75">
      <c r="A20" s="38" t="s">
        <v>205</v>
      </c>
      <c r="B20" s="69"/>
      <c r="C20" s="69"/>
      <c r="D20" s="69"/>
      <c r="E20" s="69"/>
      <c r="F20" s="39">
        <v>3</v>
      </c>
      <c r="G20" s="111">
        <v>500</v>
      </c>
      <c r="H20" s="40">
        <f>H7</f>
        <v>5000</v>
      </c>
      <c r="I20" s="40">
        <f>H20*1/3</f>
        <v>1666.6666666666667</v>
      </c>
      <c r="J20" s="105"/>
    </row>
    <row r="21" spans="1:10" ht="16.5" thickBot="1">
      <c r="A21" s="38" t="s">
        <v>9</v>
      </c>
      <c r="B21" s="69"/>
      <c r="C21" s="69"/>
      <c r="D21" s="69"/>
      <c r="E21" s="69"/>
      <c r="F21" s="39"/>
      <c r="G21" s="111"/>
      <c r="H21" s="40"/>
      <c r="I21" s="40">
        <f>H21*0.1</f>
        <v>0</v>
      </c>
      <c r="J21" s="105"/>
    </row>
    <row r="22" spans="1:10" ht="16.5" thickBot="1">
      <c r="A22" s="112"/>
      <c r="B22" s="113"/>
      <c r="C22" s="113"/>
      <c r="D22" s="113"/>
      <c r="E22" s="113"/>
      <c r="F22" s="29"/>
      <c r="G22" s="114"/>
      <c r="H22" s="41">
        <f>SUM(H15:H21)</f>
        <v>31200</v>
      </c>
      <c r="I22" s="41">
        <f>SUM(I15:I21)</f>
        <v>6453.333333333334</v>
      </c>
      <c r="J22" s="105"/>
    </row>
    <row r="23" spans="1:10" ht="12.75">
      <c r="A23" s="105"/>
      <c r="B23" s="105"/>
      <c r="C23" s="105"/>
      <c r="D23" s="105"/>
      <c r="E23" s="105"/>
      <c r="F23" s="105"/>
      <c r="G23" s="105"/>
      <c r="H23" s="105"/>
      <c r="I23" s="105"/>
      <c r="J23" s="105"/>
    </row>
    <row r="24" spans="1:10" ht="12.75">
      <c r="A24" s="105"/>
      <c r="B24" s="105"/>
      <c r="C24" s="105"/>
      <c r="D24" s="105"/>
      <c r="E24" s="105"/>
      <c r="F24" s="105"/>
      <c r="G24" s="105"/>
      <c r="H24" s="105"/>
      <c r="I24" s="105"/>
      <c r="J24" s="105"/>
    </row>
  </sheetData>
  <sheetProtection/>
  <mergeCells count="9">
    <mergeCell ref="A13:I13"/>
    <mergeCell ref="A1:I1"/>
    <mergeCell ref="A2:F2"/>
    <mergeCell ref="A8:F8"/>
    <mergeCell ref="A7:F7"/>
    <mergeCell ref="A3:F3"/>
    <mergeCell ref="A4:F4"/>
    <mergeCell ref="A5:F5"/>
    <mergeCell ref="A6:F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57.00390625" style="0" customWidth="1"/>
    <col min="2" max="2" width="18.7109375" style="0" customWidth="1"/>
    <col min="3" max="3" width="19.8515625" style="0" customWidth="1"/>
    <col min="4" max="4" width="18.7109375" style="0" customWidth="1"/>
    <col min="5" max="5" width="14.28125" style="0" bestFit="1" customWidth="1"/>
  </cols>
  <sheetData>
    <row r="1" spans="1:4" ht="20.25">
      <c r="A1" s="499" t="s">
        <v>60</v>
      </c>
      <c r="B1" s="499"/>
      <c r="C1" s="499"/>
      <c r="D1" s="499"/>
    </row>
    <row r="2" ht="12.75">
      <c r="A2" s="298"/>
    </row>
    <row r="3" spans="1:4" ht="51" customHeight="1">
      <c r="A3" s="325" t="s">
        <v>46</v>
      </c>
      <c r="B3" s="326" t="s">
        <v>239</v>
      </c>
      <c r="C3" s="326" t="s">
        <v>240</v>
      </c>
      <c r="D3" s="326" t="s">
        <v>208</v>
      </c>
    </row>
    <row r="4" spans="1:4" ht="12.75">
      <c r="A4" s="303" t="s">
        <v>52</v>
      </c>
      <c r="B4" s="206">
        <v>18000</v>
      </c>
      <c r="C4" s="206">
        <v>18000</v>
      </c>
      <c r="D4" s="206">
        <f>B4-C4</f>
        <v>0</v>
      </c>
    </row>
    <row r="5" spans="1:4" ht="12.75">
      <c r="A5" s="303" t="s">
        <v>31</v>
      </c>
      <c r="B5" s="206">
        <v>5000</v>
      </c>
      <c r="C5" s="206">
        <v>5000</v>
      </c>
      <c r="D5" s="206">
        <f aca="true" t="shared" si="0" ref="D5:D21">B5-C5</f>
        <v>0</v>
      </c>
    </row>
    <row r="6" spans="1:4" ht="12.75">
      <c r="A6" s="303" t="s">
        <v>55</v>
      </c>
      <c r="B6" s="206">
        <v>4000</v>
      </c>
      <c r="C6" s="206">
        <v>6000</v>
      </c>
      <c r="D6" s="206">
        <f t="shared" si="0"/>
        <v>-2000</v>
      </c>
    </row>
    <row r="7" spans="1:4" ht="12.75">
      <c r="A7" s="303" t="s">
        <v>248</v>
      </c>
      <c r="B7" s="206">
        <v>5000</v>
      </c>
      <c r="C7" s="206">
        <v>6000</v>
      </c>
      <c r="D7" s="206">
        <f t="shared" si="0"/>
        <v>-1000</v>
      </c>
    </row>
    <row r="8" spans="1:4" ht="12.75">
      <c r="A8" s="303" t="s">
        <v>33</v>
      </c>
      <c r="B8" s="206">
        <v>4760</v>
      </c>
      <c r="C8" s="206">
        <v>0</v>
      </c>
      <c r="D8" s="206">
        <f t="shared" si="0"/>
        <v>4760</v>
      </c>
    </row>
    <row r="9" spans="1:4" ht="12.75">
      <c r="A9" s="303" t="s">
        <v>34</v>
      </c>
      <c r="B9" s="206">
        <v>1500</v>
      </c>
      <c r="C9" s="206">
        <v>1500</v>
      </c>
      <c r="D9" s="206">
        <f t="shared" si="0"/>
        <v>0</v>
      </c>
    </row>
    <row r="10" spans="1:4" ht="12.75">
      <c r="A10" s="303" t="s">
        <v>57</v>
      </c>
      <c r="B10" s="206">
        <v>11880</v>
      </c>
      <c r="C10" s="206">
        <v>5000</v>
      </c>
      <c r="D10" s="206">
        <f t="shared" si="0"/>
        <v>6880</v>
      </c>
    </row>
    <row r="11" spans="1:4" ht="12.75">
      <c r="A11" s="303" t="s">
        <v>249</v>
      </c>
      <c r="B11" s="206">
        <v>1500</v>
      </c>
      <c r="C11" s="206">
        <f>2000+400+220+250+78+200+150+700</f>
        <v>3998</v>
      </c>
      <c r="D11" s="206">
        <f t="shared" si="0"/>
        <v>-2498</v>
      </c>
    </row>
    <row r="12" spans="1:4" ht="12.75">
      <c r="A12" s="303" t="s">
        <v>35</v>
      </c>
      <c r="B12" s="206">
        <v>8000</v>
      </c>
      <c r="C12" s="206">
        <v>3000</v>
      </c>
      <c r="D12" s="206">
        <f t="shared" si="0"/>
        <v>5000</v>
      </c>
    </row>
    <row r="13" spans="1:4" ht="12.75">
      <c r="A13" s="304" t="s">
        <v>163</v>
      </c>
      <c r="B13" s="206">
        <v>13500</v>
      </c>
      <c r="C13" s="206">
        <f>7500/8*12</f>
        <v>11250</v>
      </c>
      <c r="D13" s="206">
        <f t="shared" si="0"/>
        <v>2250</v>
      </c>
    </row>
    <row r="14" spans="1:4" ht="12.75">
      <c r="A14" s="303" t="s">
        <v>53</v>
      </c>
      <c r="B14" s="206"/>
      <c r="C14" s="206"/>
      <c r="D14" s="206">
        <f t="shared" si="0"/>
        <v>0</v>
      </c>
    </row>
    <row r="15" spans="1:4" ht="12.75">
      <c r="A15" s="305" t="s">
        <v>181</v>
      </c>
      <c r="B15" s="206">
        <v>8000</v>
      </c>
      <c r="C15" s="206">
        <v>7250</v>
      </c>
      <c r="D15" s="206">
        <f t="shared" si="0"/>
        <v>750</v>
      </c>
    </row>
    <row r="16" spans="1:4" ht="12.75">
      <c r="A16" s="305" t="s">
        <v>63</v>
      </c>
      <c r="B16" s="206">
        <v>9000</v>
      </c>
      <c r="C16" s="206">
        <v>11000</v>
      </c>
      <c r="D16" s="206">
        <f t="shared" si="0"/>
        <v>-2000</v>
      </c>
    </row>
    <row r="17" spans="1:4" ht="12.75">
      <c r="A17" s="305" t="s">
        <v>22</v>
      </c>
      <c r="B17" s="206">
        <v>2000</v>
      </c>
      <c r="C17" s="206">
        <v>0</v>
      </c>
      <c r="D17" s="206">
        <f t="shared" si="0"/>
        <v>2000</v>
      </c>
    </row>
    <row r="18" spans="1:4" ht="12.75">
      <c r="A18" s="305" t="s">
        <v>174</v>
      </c>
      <c r="B18" s="206">
        <v>8000</v>
      </c>
      <c r="C18" s="206">
        <v>12000</v>
      </c>
      <c r="D18" s="206">
        <f t="shared" si="0"/>
        <v>-4000</v>
      </c>
    </row>
    <row r="19" spans="1:9" ht="12.75">
      <c r="A19" s="303" t="s">
        <v>162</v>
      </c>
      <c r="B19" s="206">
        <v>15000</v>
      </c>
      <c r="C19" s="206">
        <v>10000</v>
      </c>
      <c r="D19" s="206">
        <f t="shared" si="0"/>
        <v>5000</v>
      </c>
      <c r="I19">
        <v>0</v>
      </c>
    </row>
    <row r="20" spans="1:4" ht="12.75">
      <c r="A20" s="319" t="s">
        <v>255</v>
      </c>
      <c r="B20" s="320">
        <v>0</v>
      </c>
      <c r="C20" s="320">
        <v>4000</v>
      </c>
      <c r="D20" s="320">
        <f t="shared" si="0"/>
        <v>-4000</v>
      </c>
    </row>
    <row r="21" spans="1:4" ht="13.5" thickBot="1">
      <c r="A21" s="303" t="s">
        <v>161</v>
      </c>
      <c r="B21" s="306">
        <v>5000</v>
      </c>
      <c r="C21" s="306">
        <v>5000</v>
      </c>
      <c r="D21" s="306">
        <f t="shared" si="0"/>
        <v>0</v>
      </c>
    </row>
    <row r="22" spans="1:4" ht="13.5" thickBot="1">
      <c r="A22" s="307" t="s">
        <v>0</v>
      </c>
      <c r="B22" s="308">
        <f>SUM(B4:B21)</f>
        <v>120140</v>
      </c>
      <c r="C22" s="308">
        <f>SUM(C4:C21)</f>
        <v>108998</v>
      </c>
      <c r="D22" s="309">
        <f>B22-C22</f>
        <v>11142</v>
      </c>
    </row>
    <row r="24" spans="1:6" ht="12.75">
      <c r="A24" s="105"/>
      <c r="B24" s="105"/>
      <c r="C24" s="105"/>
      <c r="D24" s="105"/>
      <c r="E24" s="105"/>
      <c r="F24" s="105"/>
    </row>
    <row r="25" ht="12.75">
      <c r="A25" s="321" t="s">
        <v>256</v>
      </c>
    </row>
    <row r="26" spans="2:3" ht="15">
      <c r="B26" s="4"/>
      <c r="C26" s="4"/>
    </row>
    <row r="27" spans="2:3" ht="15">
      <c r="B27" s="4"/>
      <c r="C27" s="4"/>
    </row>
    <row r="28" spans="2:3" ht="15">
      <c r="B28" s="4"/>
      <c r="C28" s="4"/>
    </row>
    <row r="29" spans="2:3" ht="15">
      <c r="B29" s="4"/>
      <c r="C29" s="4"/>
    </row>
    <row r="30" spans="2:3" ht="15">
      <c r="B30" s="4"/>
      <c r="C30" s="4"/>
    </row>
    <row r="31" spans="2:3" ht="15">
      <c r="B31" s="4"/>
      <c r="C31" s="4"/>
    </row>
    <row r="32" spans="2:3" ht="15">
      <c r="B32" s="4"/>
      <c r="C32" s="4"/>
    </row>
    <row r="33" spans="2:3" ht="15">
      <c r="B33" s="4"/>
      <c r="C33" s="4"/>
    </row>
    <row r="34" spans="2:3" ht="15">
      <c r="B34" s="4"/>
      <c r="C34" s="4"/>
    </row>
    <row r="35" spans="2:3" ht="15">
      <c r="B35" s="4"/>
      <c r="C35" s="4"/>
    </row>
    <row r="36" spans="2:3" ht="15">
      <c r="B36" s="4"/>
      <c r="C36" s="4"/>
    </row>
    <row r="37" spans="2:3" ht="15">
      <c r="B37" s="4"/>
      <c r="C37" s="4"/>
    </row>
    <row r="38" spans="2:3" ht="15">
      <c r="B38" s="4"/>
      <c r="C38" s="4"/>
    </row>
    <row r="39" spans="2:3" ht="15">
      <c r="B39" s="4"/>
      <c r="C39" s="4"/>
    </row>
    <row r="40" spans="2:3" ht="15">
      <c r="B40" s="4"/>
      <c r="C40" s="4"/>
    </row>
    <row r="41" spans="2:3" ht="15">
      <c r="B41" s="4"/>
      <c r="C41" s="4"/>
    </row>
    <row r="42" spans="2:3" ht="15">
      <c r="B42" s="4"/>
      <c r="C42" s="4"/>
    </row>
    <row r="43" spans="2:3" ht="15">
      <c r="B43" s="4"/>
      <c r="C43" s="4"/>
    </row>
    <row r="44" spans="1:3" ht="15">
      <c r="A44" s="4"/>
      <c r="B44" s="4"/>
      <c r="C44" s="4"/>
    </row>
  </sheetData>
  <sheetProtection/>
  <mergeCells count="1">
    <mergeCell ref="A1:D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47.00390625" style="0" customWidth="1"/>
    <col min="2" max="2" width="18.7109375" style="0" customWidth="1"/>
    <col min="3" max="3" width="19.8515625" style="0" customWidth="1"/>
    <col min="4" max="4" width="18.7109375" style="0" customWidth="1"/>
  </cols>
  <sheetData>
    <row r="1" spans="1:4" ht="23.25" customHeight="1">
      <c r="A1" s="477" t="s">
        <v>70</v>
      </c>
      <c r="B1" s="477"/>
      <c r="C1" s="477"/>
      <c r="D1" s="477"/>
    </row>
    <row r="2" ht="18">
      <c r="A2" s="299"/>
    </row>
    <row r="3" spans="1:4" ht="47.25">
      <c r="A3" s="189"/>
      <c r="B3" s="211" t="s">
        <v>239</v>
      </c>
      <c r="C3" s="211" t="s">
        <v>240</v>
      </c>
      <c r="D3" s="210" t="s">
        <v>208</v>
      </c>
    </row>
    <row r="4" spans="1:5" ht="15.75" customHeight="1">
      <c r="A4" s="212" t="s">
        <v>179</v>
      </c>
      <c r="B4" s="322">
        <v>0</v>
      </c>
      <c r="C4" s="260">
        <f>9238/8*12</f>
        <v>13857</v>
      </c>
      <c r="D4" s="260">
        <f>B4-C4</f>
        <v>-13857</v>
      </c>
      <c r="E4" s="105" t="s">
        <v>264</v>
      </c>
    </row>
    <row r="5" spans="1:4" ht="15.75">
      <c r="A5" s="212" t="s">
        <v>29</v>
      </c>
      <c r="B5" s="260"/>
      <c r="C5" s="260">
        <v>0</v>
      </c>
      <c r="D5" s="260">
        <f>B5-C5</f>
        <v>0</v>
      </c>
    </row>
    <row r="6" spans="1:4" ht="15.75">
      <c r="A6" s="212" t="s">
        <v>105</v>
      </c>
      <c r="B6" s="260">
        <v>49759.892861333334</v>
      </c>
      <c r="C6" s="260">
        <f>37020/8*12</f>
        <v>55530</v>
      </c>
      <c r="D6" s="260">
        <f>B6-C6</f>
        <v>-5770.107138666666</v>
      </c>
    </row>
    <row r="7" spans="1:4" ht="15.75">
      <c r="A7" s="212" t="s">
        <v>5</v>
      </c>
      <c r="B7" s="261">
        <f>SUM(B4:B6)</f>
        <v>49759.892861333334</v>
      </c>
      <c r="C7" s="261">
        <f>SUM(C4:C6)</f>
        <v>69387</v>
      </c>
      <c r="D7" s="261">
        <f>B7-C7</f>
        <v>-19627.107138666666</v>
      </c>
    </row>
    <row r="8" spans="1:4" ht="15.75">
      <c r="A8" s="208"/>
      <c r="B8" s="105"/>
      <c r="C8" s="105"/>
      <c r="D8" s="105"/>
    </row>
    <row r="9" ht="15">
      <c r="A9" s="4"/>
    </row>
    <row r="10" spans="1:3" ht="15.75">
      <c r="A10" s="401"/>
      <c r="B10" s="43"/>
      <c r="C10" s="43"/>
    </row>
    <row r="14" ht="12.75">
      <c r="C14" s="7"/>
    </row>
    <row r="22" spans="1:6" ht="12.75">
      <c r="A22" s="105"/>
      <c r="B22" s="105"/>
      <c r="C22" s="105"/>
      <c r="D22" s="105"/>
      <c r="E22" s="105"/>
      <c r="F22" s="105"/>
    </row>
  </sheetData>
  <sheetProtection/>
  <mergeCells count="1">
    <mergeCell ref="A1:D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="75" zoomScaleNormal="75" zoomScalePageLayoutView="0" workbookViewId="0" topLeftCell="A1">
      <selection activeCell="A21" sqref="A21"/>
    </sheetView>
  </sheetViews>
  <sheetFormatPr defaultColWidth="12.421875" defaultRowHeight="12.75"/>
  <cols>
    <col min="1" max="1" width="92.7109375" style="4" bestFit="1" customWidth="1"/>
    <col min="2" max="2" width="22.28125" style="4" bestFit="1" customWidth="1"/>
    <col min="3" max="3" width="21.57421875" style="4" customWidth="1"/>
    <col min="4" max="4" width="17.57421875" style="4" customWidth="1"/>
    <col min="5" max="5" width="12.57421875" style="4" customWidth="1"/>
    <col min="6" max="16384" width="12.421875" style="4" customWidth="1"/>
  </cols>
  <sheetData>
    <row r="1" spans="1:4" ht="52.5" customHeight="1">
      <c r="A1" s="500" t="s">
        <v>26</v>
      </c>
      <c r="B1" s="500"/>
      <c r="C1" s="500"/>
      <c r="D1" s="500"/>
    </row>
    <row r="2" ht="37.5" customHeight="1">
      <c r="A2" s="300"/>
    </row>
    <row r="3" spans="1:4" ht="68.25" customHeight="1">
      <c r="A3" s="310" t="s">
        <v>4</v>
      </c>
      <c r="B3" s="211" t="s">
        <v>239</v>
      </c>
      <c r="C3" s="211" t="s">
        <v>240</v>
      </c>
      <c r="D3" s="311" t="s">
        <v>208</v>
      </c>
    </row>
    <row r="4" spans="1:7" ht="15">
      <c r="A4" s="314" t="s">
        <v>192</v>
      </c>
      <c r="B4" s="501">
        <v>36000</v>
      </c>
      <c r="C4" s="501">
        <v>37300</v>
      </c>
      <c r="D4" s="501">
        <f>B4-C4</f>
        <v>-1300</v>
      </c>
      <c r="G4" s="323"/>
    </row>
    <row r="5" spans="1:11" ht="15">
      <c r="A5" s="314" t="s">
        <v>158</v>
      </c>
      <c r="B5" s="502"/>
      <c r="C5" s="502"/>
      <c r="D5" s="502"/>
      <c r="G5" s="5"/>
      <c r="H5" s="5"/>
      <c r="I5" s="5"/>
      <c r="J5" s="5"/>
      <c r="K5" s="5"/>
    </row>
    <row r="6" spans="1:11" ht="15">
      <c r="A6" s="314" t="s">
        <v>82</v>
      </c>
      <c r="B6" s="313">
        <v>6500</v>
      </c>
      <c r="C6" s="313">
        <v>6250</v>
      </c>
      <c r="D6" s="312">
        <f aca="true" t="shared" si="0" ref="D6:D26">B6-C6</f>
        <v>250</v>
      </c>
      <c r="F6" s="194"/>
      <c r="G6" s="194"/>
      <c r="H6" s="194"/>
      <c r="I6" s="194"/>
      <c r="J6" s="194"/>
      <c r="K6" s="5"/>
    </row>
    <row r="7" spans="1:11" ht="15">
      <c r="A7" s="314" t="s">
        <v>114</v>
      </c>
      <c r="B7" s="313">
        <v>100000</v>
      </c>
      <c r="C7" s="313">
        <f>71342/8*12</f>
        <v>107013</v>
      </c>
      <c r="D7" s="312">
        <f t="shared" si="0"/>
        <v>-7013</v>
      </c>
      <c r="E7" s="195"/>
      <c r="F7" s="194"/>
      <c r="G7" s="194"/>
      <c r="H7" s="194"/>
      <c r="I7" s="194"/>
      <c r="J7" s="194"/>
      <c r="K7" s="5"/>
    </row>
    <row r="8" spans="1:11" ht="15">
      <c r="A8" s="324" t="s">
        <v>257</v>
      </c>
      <c r="B8" s="313">
        <v>49759.892861333334</v>
      </c>
      <c r="C8" s="313">
        <f>'fz-amm'!C7</f>
        <v>69387</v>
      </c>
      <c r="D8" s="312">
        <f t="shared" si="0"/>
        <v>-19627.107138666666</v>
      </c>
      <c r="E8" s="194"/>
      <c r="F8" s="194"/>
      <c r="G8" s="194"/>
      <c r="H8" s="194"/>
      <c r="I8" s="194"/>
      <c r="J8" s="194"/>
      <c r="K8" s="5"/>
    </row>
    <row r="9" spans="1:11" ht="15">
      <c r="A9" s="314" t="s">
        <v>180</v>
      </c>
      <c r="B9" s="313">
        <v>8000</v>
      </c>
      <c r="C9" s="313">
        <f>'INV LOG '!C15</f>
        <v>7250</v>
      </c>
      <c r="D9" s="312">
        <f t="shared" si="0"/>
        <v>750</v>
      </c>
      <c r="E9" s="194"/>
      <c r="F9" s="194"/>
      <c r="G9" s="194"/>
      <c r="H9" s="194"/>
      <c r="I9" s="194"/>
      <c r="J9" s="194"/>
      <c r="K9" s="5"/>
    </row>
    <row r="10" spans="1:11" ht="15">
      <c r="A10" s="314" t="s">
        <v>175</v>
      </c>
      <c r="B10" s="313">
        <v>9000</v>
      </c>
      <c r="C10" s="313">
        <f>'INV LOG '!C16</f>
        <v>11000</v>
      </c>
      <c r="D10" s="312">
        <f t="shared" si="0"/>
        <v>-2000</v>
      </c>
      <c r="E10" s="194"/>
      <c r="F10" s="194"/>
      <c r="G10" s="194"/>
      <c r="H10" s="194"/>
      <c r="I10" s="194"/>
      <c r="J10" s="194"/>
      <c r="K10" s="5"/>
    </row>
    <row r="11" spans="1:11" ht="15">
      <c r="A11" s="314" t="s">
        <v>160</v>
      </c>
      <c r="B11" s="313">
        <v>10000</v>
      </c>
      <c r="C11" s="313">
        <f>'INV LOG '!C17+'INV LOG '!C18</f>
        <v>12000</v>
      </c>
      <c r="D11" s="312">
        <f t="shared" si="0"/>
        <v>-2000</v>
      </c>
      <c r="E11" s="194"/>
      <c r="F11" s="194"/>
      <c r="G11" s="194"/>
      <c r="H11" s="194"/>
      <c r="I11" s="194"/>
      <c r="J11" s="194"/>
      <c r="K11" s="5"/>
    </row>
    <row r="12" spans="1:11" ht="15">
      <c r="A12" s="314" t="s">
        <v>165</v>
      </c>
      <c r="B12" s="313">
        <v>5000</v>
      </c>
      <c r="C12" s="313">
        <f>'INV LOG '!C21</f>
        <v>5000</v>
      </c>
      <c r="D12" s="312">
        <f t="shared" si="0"/>
        <v>0</v>
      </c>
      <c r="E12" s="194"/>
      <c r="F12" s="194"/>
      <c r="G12" s="194"/>
      <c r="H12" s="194"/>
      <c r="I12" s="194"/>
      <c r="J12" s="194"/>
      <c r="K12" s="5"/>
    </row>
    <row r="13" spans="1:11" ht="15">
      <c r="A13" s="314" t="s">
        <v>54</v>
      </c>
      <c r="B13" s="313">
        <v>23000</v>
      </c>
      <c r="C13" s="327">
        <f>SUM('INV LOG '!C4:C5)</f>
        <v>23000</v>
      </c>
      <c r="D13" s="312">
        <f t="shared" si="0"/>
        <v>0</v>
      </c>
      <c r="E13" s="194"/>
      <c r="F13" s="194"/>
      <c r="G13" s="194"/>
      <c r="H13" s="194"/>
      <c r="I13" s="194"/>
      <c r="J13" s="194"/>
      <c r="K13" s="5"/>
    </row>
    <row r="14" spans="1:11" ht="15">
      <c r="A14" s="314" t="s">
        <v>27</v>
      </c>
      <c r="B14" s="313">
        <v>8000</v>
      </c>
      <c r="C14" s="313">
        <f>'INV LOG '!C12</f>
        <v>3000</v>
      </c>
      <c r="D14" s="312">
        <f t="shared" si="0"/>
        <v>5000</v>
      </c>
      <c r="E14" s="194"/>
      <c r="F14" s="194"/>
      <c r="G14" s="194"/>
      <c r="H14" s="194"/>
      <c r="I14" s="194"/>
      <c r="J14" s="194"/>
      <c r="K14" s="5"/>
    </row>
    <row r="15" spans="1:11" ht="15">
      <c r="A15" s="314" t="s">
        <v>28</v>
      </c>
      <c r="B15" s="313">
        <v>4000</v>
      </c>
      <c r="C15" s="313">
        <f>'INV LOG '!C6</f>
        <v>6000</v>
      </c>
      <c r="D15" s="312">
        <f t="shared" si="0"/>
        <v>-2000</v>
      </c>
      <c r="E15" s="194"/>
      <c r="F15" s="194"/>
      <c r="G15" s="194"/>
      <c r="H15" s="194"/>
      <c r="I15" s="194"/>
      <c r="J15" s="194"/>
      <c r="K15" s="5"/>
    </row>
    <row r="16" spans="1:11" ht="15">
      <c r="A16" s="314" t="s">
        <v>250</v>
      </c>
      <c r="B16" s="313">
        <v>5000</v>
      </c>
      <c r="C16" s="313">
        <f>'INV LOG '!C7</f>
        <v>6000</v>
      </c>
      <c r="D16" s="312">
        <f t="shared" si="0"/>
        <v>-1000</v>
      </c>
      <c r="E16" s="194"/>
      <c r="F16" s="194"/>
      <c r="G16" s="194"/>
      <c r="H16" s="194"/>
      <c r="I16" s="194"/>
      <c r="J16" s="194"/>
      <c r="K16" s="5"/>
    </row>
    <row r="17" spans="1:9" ht="15">
      <c r="A17" s="314" t="s">
        <v>164</v>
      </c>
      <c r="B17" s="313">
        <v>13500</v>
      </c>
      <c r="C17" s="313">
        <f>'INV LOG '!C13</f>
        <v>11250</v>
      </c>
      <c r="D17" s="312">
        <f t="shared" si="0"/>
        <v>2250</v>
      </c>
      <c r="F17" s="195"/>
      <c r="G17" s="195"/>
      <c r="H17" s="195"/>
      <c r="I17" s="195"/>
    </row>
    <row r="18" spans="1:9" ht="15">
      <c r="A18" s="314" t="s">
        <v>56</v>
      </c>
      <c r="B18" s="313">
        <v>4760</v>
      </c>
      <c r="C18" s="313">
        <f>'INV LOG '!C8</f>
        <v>0</v>
      </c>
      <c r="D18" s="312">
        <f t="shared" si="0"/>
        <v>4760</v>
      </c>
      <c r="F18" s="195"/>
      <c r="G18" s="195"/>
      <c r="H18" s="195"/>
      <c r="I18" s="195"/>
    </row>
    <row r="19" spans="1:9" ht="15">
      <c r="A19" s="314" t="s">
        <v>58</v>
      </c>
      <c r="B19" s="313">
        <v>1500</v>
      </c>
      <c r="C19" s="313"/>
      <c r="D19" s="312">
        <f t="shared" si="0"/>
        <v>1500</v>
      </c>
      <c r="F19" s="195"/>
      <c r="G19" s="195"/>
      <c r="H19" s="195"/>
      <c r="I19" s="195"/>
    </row>
    <row r="20" spans="1:9" ht="15">
      <c r="A20" s="314" t="s">
        <v>59</v>
      </c>
      <c r="B20" s="313">
        <v>11880</v>
      </c>
      <c r="C20" s="313">
        <f>'INV LOG '!C10</f>
        <v>5000</v>
      </c>
      <c r="D20" s="312">
        <f t="shared" si="0"/>
        <v>6880</v>
      </c>
      <c r="F20" s="195"/>
      <c r="G20" s="195"/>
      <c r="H20" s="195"/>
      <c r="I20" s="195"/>
    </row>
    <row r="21" spans="1:9" ht="15">
      <c r="A21" s="447" t="s">
        <v>287</v>
      </c>
      <c r="B21" s="313">
        <v>1500</v>
      </c>
      <c r="C21" s="313">
        <v>-9000</v>
      </c>
      <c r="D21" s="312">
        <f t="shared" si="0"/>
        <v>10500</v>
      </c>
      <c r="F21" s="195"/>
      <c r="G21" s="195"/>
      <c r="H21" s="195"/>
      <c r="I21" s="195"/>
    </row>
    <row r="22" spans="1:9" ht="15">
      <c r="A22" s="315" t="s">
        <v>25</v>
      </c>
      <c r="B22" s="313">
        <v>1500</v>
      </c>
      <c r="C22" s="313"/>
      <c r="D22" s="312">
        <f t="shared" si="0"/>
        <v>1500</v>
      </c>
      <c r="F22" s="195"/>
      <c r="G22" s="195"/>
      <c r="H22" s="195"/>
      <c r="I22" s="195"/>
    </row>
    <row r="23" spans="1:9" ht="15">
      <c r="A23" s="315" t="s">
        <v>24</v>
      </c>
      <c r="B23" s="313">
        <v>6620</v>
      </c>
      <c r="C23" s="313">
        <f>INVEST!I22</f>
        <v>6453.333333333334</v>
      </c>
      <c r="D23" s="312">
        <f t="shared" si="0"/>
        <v>166.66666666666606</v>
      </c>
      <c r="E23" s="177"/>
      <c r="F23" s="196"/>
      <c r="G23" s="196"/>
      <c r="H23" s="196"/>
      <c r="I23" s="195"/>
    </row>
    <row r="24" spans="1:4" ht="15">
      <c r="A24" s="314" t="s">
        <v>190</v>
      </c>
      <c r="B24" s="313">
        <v>15000</v>
      </c>
      <c r="C24" s="313">
        <f>'INV LOG '!C19</f>
        <v>10000</v>
      </c>
      <c r="D24" s="312">
        <f t="shared" si="0"/>
        <v>5000</v>
      </c>
    </row>
    <row r="25" spans="1:4" ht="15">
      <c r="A25" s="319" t="s">
        <v>255</v>
      </c>
      <c r="B25" s="313">
        <v>0</v>
      </c>
      <c r="C25" s="313">
        <f>'INV LOG '!C20</f>
        <v>4000</v>
      </c>
      <c r="D25" s="312">
        <f t="shared" si="0"/>
        <v>-4000</v>
      </c>
    </row>
    <row r="26" spans="1:8" ht="15.75">
      <c r="A26" s="316" t="s">
        <v>0</v>
      </c>
      <c r="B26" s="317">
        <f>SUM(B4:B24)</f>
        <v>320519.8928613333</v>
      </c>
      <c r="C26" s="317">
        <f>SUM(C4:C24)</f>
        <v>316903.3333333333</v>
      </c>
      <c r="D26" s="317">
        <f t="shared" si="0"/>
        <v>3616.5595280000125</v>
      </c>
      <c r="E26" s="194"/>
      <c r="F26" s="194"/>
      <c r="G26" s="194"/>
      <c r="H26" s="194"/>
    </row>
    <row r="27" spans="2:8" ht="15">
      <c r="B27" s="262"/>
      <c r="C27" s="263"/>
      <c r="D27" s="263"/>
      <c r="E27" s="194"/>
      <c r="F27" s="194"/>
      <c r="G27" s="194"/>
      <c r="H27" s="194"/>
    </row>
    <row r="28" spans="3:8" ht="15">
      <c r="C28" s="5"/>
      <c r="D28" s="5"/>
      <c r="E28" s="194"/>
      <c r="F28" s="194"/>
      <c r="G28" s="194"/>
      <c r="H28" s="194"/>
    </row>
    <row r="29" spans="3:8" ht="15">
      <c r="C29" s="5"/>
      <c r="D29" s="5"/>
      <c r="E29" s="194"/>
      <c r="F29" s="194"/>
      <c r="G29" s="194"/>
      <c r="H29" s="194"/>
    </row>
    <row r="30" spans="3:8" ht="15">
      <c r="C30" s="5"/>
      <c r="D30" s="5"/>
      <c r="E30" s="194"/>
      <c r="F30" s="194"/>
      <c r="G30" s="194"/>
      <c r="H30" s="194"/>
    </row>
    <row r="31" spans="3:8" ht="15">
      <c r="C31" s="5"/>
      <c r="D31" s="5"/>
      <c r="E31" s="194"/>
      <c r="F31" s="194"/>
      <c r="G31" s="194"/>
      <c r="H31" s="194"/>
    </row>
    <row r="32" spans="3:8" ht="15">
      <c r="C32" s="5"/>
      <c r="D32" s="5"/>
      <c r="E32" s="194"/>
      <c r="F32" s="194"/>
      <c r="G32" s="194"/>
      <c r="H32" s="194"/>
    </row>
    <row r="33" spans="4:8" ht="15">
      <c r="D33" s="5"/>
      <c r="E33" s="5"/>
      <c r="F33" s="5"/>
      <c r="G33" s="5"/>
      <c r="H33" s="5"/>
    </row>
  </sheetData>
  <sheetProtection/>
  <mergeCells count="4">
    <mergeCell ref="A1:D1"/>
    <mergeCell ref="B4:B5"/>
    <mergeCell ref="D4:D5"/>
    <mergeCell ref="C4:C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zoomScale="75" zoomScaleNormal="75" zoomScalePageLayoutView="0" workbookViewId="0" topLeftCell="A4">
      <selection activeCell="A20" sqref="A20"/>
    </sheetView>
  </sheetViews>
  <sheetFormatPr defaultColWidth="9.140625" defaultRowHeight="12.75"/>
  <cols>
    <col min="1" max="1" width="19.57421875" style="0" customWidth="1"/>
    <col min="2" max="2" width="9.28125" style="0" customWidth="1"/>
    <col min="3" max="3" width="12.8515625" style="0" customWidth="1"/>
    <col min="4" max="4" width="18.140625" style="0" customWidth="1"/>
    <col min="5" max="5" width="16.57421875" style="0" bestFit="1" customWidth="1"/>
    <col min="6" max="6" width="12.8515625" style="7" customWidth="1"/>
    <col min="8" max="8" width="10.28125" style="0" customWidth="1"/>
  </cols>
  <sheetData>
    <row r="2" spans="1:6" ht="50.25" customHeight="1">
      <c r="A2" s="477" t="s">
        <v>124</v>
      </c>
      <c r="B2" s="477"/>
      <c r="C2" s="477"/>
      <c r="D2" s="477"/>
      <c r="E2" s="477"/>
      <c r="F2" s="477"/>
    </row>
    <row r="3" spans="1:6" ht="12.75">
      <c r="A3" s="8"/>
      <c r="B3" s="8"/>
      <c r="C3" s="8"/>
      <c r="D3" s="8"/>
      <c r="E3" s="8"/>
      <c r="F3" s="226"/>
    </row>
    <row r="4" ht="13.5" thickBot="1"/>
    <row r="5" spans="1:6" ht="16.5" thickBot="1">
      <c r="A5" s="474" t="s">
        <v>11</v>
      </c>
      <c r="B5" s="475"/>
      <c r="C5" s="475"/>
      <c r="D5" s="476"/>
      <c r="E5" s="478" t="s">
        <v>167</v>
      </c>
      <c r="F5" s="479"/>
    </row>
    <row r="6" spans="1:6" ht="12.75">
      <c r="A6" s="9"/>
      <c r="B6" s="10"/>
      <c r="C6" s="10"/>
      <c r="D6" s="10"/>
      <c r="E6" s="18"/>
      <c r="F6" s="227"/>
    </row>
    <row r="7" spans="1:6" ht="12.75">
      <c r="A7" s="25" t="s">
        <v>110</v>
      </c>
      <c r="B7" s="10"/>
      <c r="C7" s="10"/>
      <c r="D7" s="10"/>
      <c r="E7" s="11"/>
      <c r="F7" s="228"/>
    </row>
    <row r="8" spans="1:6" ht="12.75">
      <c r="A8" s="9"/>
      <c r="B8" s="10"/>
      <c r="C8" s="32" t="s">
        <v>116</v>
      </c>
      <c r="D8" s="33"/>
      <c r="E8" s="34"/>
      <c r="F8" s="229">
        <f>E8/$E$29</f>
        <v>0</v>
      </c>
    </row>
    <row r="9" spans="1:6" ht="12.75">
      <c r="A9" s="9"/>
      <c r="B9" s="10"/>
      <c r="C9" s="30" t="s">
        <v>122</v>
      </c>
      <c r="D9" s="26"/>
      <c r="E9" s="35">
        <v>100000</v>
      </c>
      <c r="F9" s="229">
        <f>E9*0.690357</f>
        <v>69035.7</v>
      </c>
    </row>
    <row r="10" spans="1:6" ht="12.75">
      <c r="A10" s="9"/>
      <c r="B10" s="10"/>
      <c r="C10" s="30" t="s">
        <v>111</v>
      </c>
      <c r="D10" s="26"/>
      <c r="E10" s="35"/>
      <c r="F10" s="229">
        <f aca="true" t="shared" si="0" ref="F10:F37">E10*0.690357</f>
        <v>0</v>
      </c>
    </row>
    <row r="11" spans="1:6" ht="12.75">
      <c r="A11" s="9"/>
      <c r="B11" s="10"/>
      <c r="C11" s="22"/>
      <c r="D11" s="10"/>
      <c r="E11" s="36"/>
      <c r="F11" s="229">
        <f t="shared" si="0"/>
        <v>0</v>
      </c>
    </row>
    <row r="12" spans="1:6" ht="13.5" thickBot="1">
      <c r="A12" s="9"/>
      <c r="B12" s="10"/>
      <c r="C12" s="17" t="s">
        <v>5</v>
      </c>
      <c r="D12" s="16"/>
      <c r="E12" s="19">
        <f>SUM(E8:E11)</f>
        <v>100000</v>
      </c>
      <c r="F12" s="229">
        <f t="shared" si="0"/>
        <v>69035.7</v>
      </c>
    </row>
    <row r="13" spans="1:6" ht="13.5" thickTop="1">
      <c r="A13" s="9"/>
      <c r="B13" s="10"/>
      <c r="C13" s="10"/>
      <c r="D13" s="10"/>
      <c r="E13" s="11"/>
      <c r="F13" s="229">
        <f t="shared" si="0"/>
        <v>0</v>
      </c>
    </row>
    <row r="14" spans="1:6" ht="12.75">
      <c r="A14" s="25" t="s">
        <v>13</v>
      </c>
      <c r="B14" s="10"/>
      <c r="C14" s="10"/>
      <c r="D14" s="10"/>
      <c r="E14" s="11"/>
      <c r="F14" s="229">
        <f t="shared" si="0"/>
        <v>0</v>
      </c>
    </row>
    <row r="15" spans="1:6" ht="12.75">
      <c r="A15" s="9"/>
      <c r="B15" s="10"/>
      <c r="C15" s="473" t="s">
        <v>93</v>
      </c>
      <c r="D15" s="473"/>
      <c r="E15" s="11"/>
      <c r="F15" s="229">
        <f t="shared" si="0"/>
        <v>0</v>
      </c>
    </row>
    <row r="16" spans="1:6" ht="12.75">
      <c r="A16" s="9"/>
      <c r="B16" s="10"/>
      <c r="C16" s="472" t="s">
        <v>12</v>
      </c>
      <c r="D16" s="472"/>
      <c r="E16" s="120">
        <f>RIPARTO!AV19</f>
        <v>206903.3333333333</v>
      </c>
      <c r="F16" s="229">
        <f t="shared" si="0"/>
        <v>142837.16449</v>
      </c>
    </row>
    <row r="17" spans="1:6" ht="13.5" thickBot="1">
      <c r="A17" s="9"/>
      <c r="B17" s="10"/>
      <c r="C17" s="15" t="s">
        <v>5</v>
      </c>
      <c r="D17" s="15"/>
      <c r="E17" s="19">
        <f>E16</f>
        <v>206903.3333333333</v>
      </c>
      <c r="F17" s="229">
        <f t="shared" si="0"/>
        <v>142837.16449</v>
      </c>
    </row>
    <row r="18" spans="1:6" ht="13.5" thickTop="1">
      <c r="A18" s="9"/>
      <c r="B18" s="10"/>
      <c r="C18" s="10"/>
      <c r="D18" s="10"/>
      <c r="E18" s="11"/>
      <c r="F18" s="229">
        <f t="shared" si="0"/>
        <v>0</v>
      </c>
    </row>
    <row r="19" spans="1:6" ht="12.75">
      <c r="A19" s="25" t="s">
        <v>21</v>
      </c>
      <c r="B19" s="10"/>
      <c r="C19" s="10"/>
      <c r="D19" s="10"/>
      <c r="E19" s="11"/>
      <c r="F19" s="229">
        <f t="shared" si="0"/>
        <v>0</v>
      </c>
    </row>
    <row r="20" spans="1:6" ht="12.75">
      <c r="A20" s="9"/>
      <c r="B20" s="10"/>
      <c r="C20" s="473" t="s">
        <v>12</v>
      </c>
      <c r="D20" s="473"/>
      <c r="E20" s="11"/>
      <c r="F20" s="229">
        <f t="shared" si="0"/>
        <v>0</v>
      </c>
    </row>
    <row r="21" spans="1:6" ht="13.5" thickBot="1">
      <c r="A21" s="9"/>
      <c r="B21" s="10"/>
      <c r="C21" s="15" t="s">
        <v>5</v>
      </c>
      <c r="D21" s="15"/>
      <c r="E21" s="91"/>
      <c r="F21" s="229">
        <f t="shared" si="0"/>
        <v>0</v>
      </c>
    </row>
    <row r="22" spans="1:6" ht="13.5" thickTop="1">
      <c r="A22" s="9"/>
      <c r="B22" s="10"/>
      <c r="C22" s="10"/>
      <c r="D22" s="10"/>
      <c r="E22" s="11"/>
      <c r="F22" s="229">
        <f t="shared" si="0"/>
        <v>0</v>
      </c>
    </row>
    <row r="23" spans="1:10" ht="12.75">
      <c r="A23" s="25"/>
      <c r="B23" s="69"/>
      <c r="C23" s="69"/>
      <c r="D23" s="69"/>
      <c r="E23" s="150"/>
      <c r="F23" s="229">
        <f t="shared" si="0"/>
        <v>0</v>
      </c>
      <c r="G23" s="105"/>
      <c r="H23" s="105"/>
      <c r="I23" s="105"/>
      <c r="J23" s="105"/>
    </row>
    <row r="24" spans="1:6" ht="12.75">
      <c r="A24" s="25"/>
      <c r="B24" s="10"/>
      <c r="C24" s="22" t="s">
        <v>94</v>
      </c>
      <c r="D24" s="10"/>
      <c r="E24" s="11"/>
      <c r="F24" s="229">
        <f t="shared" si="0"/>
        <v>0</v>
      </c>
    </row>
    <row r="25" spans="1:6" ht="12.75">
      <c r="A25" s="9"/>
      <c r="B25" s="10"/>
      <c r="C25" s="22" t="s">
        <v>15</v>
      </c>
      <c r="D25" s="10"/>
      <c r="E25" s="11"/>
      <c r="F25" s="229">
        <f t="shared" si="0"/>
        <v>0</v>
      </c>
    </row>
    <row r="26" spans="1:6" ht="12.75">
      <c r="A26" s="9"/>
      <c r="B26" s="10"/>
      <c r="C26" s="22" t="s">
        <v>17</v>
      </c>
      <c r="D26" s="10"/>
      <c r="E26" s="11"/>
      <c r="F26" s="229">
        <f t="shared" si="0"/>
        <v>0</v>
      </c>
    </row>
    <row r="27" spans="1:6" ht="13.5" thickBot="1">
      <c r="A27" s="9"/>
      <c r="B27" s="10"/>
      <c r="C27" s="17" t="s">
        <v>5</v>
      </c>
      <c r="D27" s="16"/>
      <c r="E27" s="20"/>
      <c r="F27" s="229">
        <f t="shared" si="0"/>
        <v>0</v>
      </c>
    </row>
    <row r="28" spans="1:6" ht="13.5" thickTop="1">
      <c r="A28" s="9"/>
      <c r="B28" s="10"/>
      <c r="C28" s="10"/>
      <c r="D28" s="10"/>
      <c r="E28" s="11"/>
      <c r="F28" s="229">
        <f t="shared" si="0"/>
        <v>0</v>
      </c>
    </row>
    <row r="29" spans="1:6" ht="13.5" thickBot="1">
      <c r="A29" s="9"/>
      <c r="B29" s="10"/>
      <c r="C29" s="17" t="s">
        <v>16</v>
      </c>
      <c r="D29" s="16"/>
      <c r="E29" s="92">
        <f>E27+E21+E17+E12</f>
        <v>306903.3333333333</v>
      </c>
      <c r="F29" s="229">
        <f t="shared" si="0"/>
        <v>211872.86448999998</v>
      </c>
    </row>
    <row r="30" spans="1:6" ht="13.5" thickTop="1">
      <c r="A30" s="9"/>
      <c r="B30" s="10"/>
      <c r="C30" s="22"/>
      <c r="D30" s="10"/>
      <c r="E30" s="93"/>
      <c r="F30" s="229">
        <f t="shared" si="0"/>
        <v>0</v>
      </c>
    </row>
    <row r="31" spans="1:6" ht="12.75">
      <c r="A31" s="9"/>
      <c r="B31" s="10"/>
      <c r="C31" s="22"/>
      <c r="D31" s="10"/>
      <c r="E31" s="93"/>
      <c r="F31" s="229">
        <f t="shared" si="0"/>
        <v>0</v>
      </c>
    </row>
    <row r="32" spans="1:6" ht="13.5" thickBot="1">
      <c r="A32" s="9"/>
      <c r="B32" s="10"/>
      <c r="C32" s="10"/>
      <c r="D32" s="10"/>
      <c r="E32" s="11"/>
      <c r="F32" s="229">
        <f t="shared" si="0"/>
        <v>0</v>
      </c>
    </row>
    <row r="33" spans="1:6" ht="16.5" thickBot="1">
      <c r="A33" s="474" t="s">
        <v>18</v>
      </c>
      <c r="B33" s="475"/>
      <c r="C33" s="475"/>
      <c r="D33" s="476"/>
      <c r="E33" s="11"/>
      <c r="F33" s="229">
        <f t="shared" si="0"/>
        <v>0</v>
      </c>
    </row>
    <row r="34" spans="1:6" ht="12.75">
      <c r="A34" s="9"/>
      <c r="B34" s="10"/>
      <c r="C34" s="10"/>
      <c r="D34" s="10"/>
      <c r="E34" s="11"/>
      <c r="F34" s="229">
        <f t="shared" si="0"/>
        <v>0</v>
      </c>
    </row>
    <row r="35" spans="1:6" ht="12.75">
      <c r="A35" s="9"/>
      <c r="B35" s="10"/>
      <c r="C35" s="22" t="s">
        <v>123</v>
      </c>
      <c r="D35" s="10"/>
      <c r="E35" s="94" t="e">
        <f>'ONERI CENT'!#REF!</f>
        <v>#REF!</v>
      </c>
      <c r="F35" s="229" t="e">
        <f t="shared" si="0"/>
        <v>#REF!</v>
      </c>
    </row>
    <row r="36" spans="1:6" ht="12.75">
      <c r="A36" s="9"/>
      <c r="B36" s="10"/>
      <c r="C36" s="22"/>
      <c r="D36" s="10"/>
      <c r="E36" s="93"/>
      <c r="F36" s="229">
        <f t="shared" si="0"/>
        <v>0</v>
      </c>
    </row>
    <row r="37" spans="1:6" ht="13.5" thickBot="1">
      <c r="A37" s="9"/>
      <c r="B37" s="10"/>
      <c r="C37" s="17" t="s">
        <v>6</v>
      </c>
      <c r="D37" s="16"/>
      <c r="E37" s="238" t="e">
        <f>SUM(E35:E36)</f>
        <v>#REF!</v>
      </c>
      <c r="F37" s="239" t="e">
        <f t="shared" si="0"/>
        <v>#REF!</v>
      </c>
    </row>
    <row r="38" spans="1:6" ht="14.25" thickBot="1" thickTop="1">
      <c r="A38" s="9"/>
      <c r="B38" s="10"/>
      <c r="C38" s="10"/>
      <c r="D38" s="10"/>
      <c r="E38" s="11"/>
      <c r="F38" s="228"/>
    </row>
    <row r="39" spans="1:6" ht="16.5" thickBot="1">
      <c r="A39" s="23" t="s">
        <v>20</v>
      </c>
      <c r="B39" s="24"/>
      <c r="C39" s="24"/>
      <c r="D39" s="24"/>
      <c r="E39" s="124" t="e">
        <f>E37-E29</f>
        <v>#REF!</v>
      </c>
      <c r="F39" s="235"/>
    </row>
    <row r="42" spans="1:6" ht="12.75">
      <c r="A42" s="27"/>
      <c r="B42" s="27"/>
      <c r="C42" s="27"/>
      <c r="D42" s="27"/>
      <c r="E42" s="27"/>
      <c r="F42" s="236"/>
    </row>
    <row r="43" ht="12.75" hidden="1">
      <c r="A43" t="s">
        <v>39</v>
      </c>
    </row>
    <row r="44" ht="12.75" hidden="1">
      <c r="A44" t="s">
        <v>40</v>
      </c>
    </row>
  </sheetData>
  <sheetProtection/>
  <mergeCells count="7">
    <mergeCell ref="A2:F2"/>
    <mergeCell ref="A5:D5"/>
    <mergeCell ref="E5:F5"/>
    <mergeCell ref="A33:D33"/>
    <mergeCell ref="C15:D15"/>
    <mergeCell ref="C16:D16"/>
    <mergeCell ref="C20:D2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D69"/>
  <sheetViews>
    <sheetView zoomScaleSheetLayoutView="100" zoomScalePageLayoutView="0" workbookViewId="0" topLeftCell="A12">
      <selection activeCell="A59" sqref="A59"/>
    </sheetView>
  </sheetViews>
  <sheetFormatPr defaultColWidth="9.140625" defaultRowHeight="12.75"/>
  <cols>
    <col min="1" max="1" width="23.421875" style="0" customWidth="1"/>
    <col min="2" max="2" width="11.7109375" style="0" customWidth="1"/>
    <col min="3" max="3" width="8.7109375" style="0" customWidth="1"/>
    <col min="4" max="4" width="8.7109375" style="0" hidden="1" customWidth="1"/>
    <col min="5" max="5" width="7.8515625" style="0" customWidth="1"/>
    <col min="6" max="6" width="12.28125" style="0" bestFit="1" customWidth="1"/>
    <col min="7" max="7" width="13.00390625" style="0" bestFit="1" customWidth="1"/>
    <col min="8" max="8" width="9.57421875" style="0" customWidth="1"/>
    <col min="9" max="9" width="13.7109375" style="0" customWidth="1"/>
    <col min="10" max="10" width="15.28125" style="0" bestFit="1" customWidth="1"/>
    <col min="11" max="11" width="8.140625" style="0" bestFit="1" customWidth="1"/>
    <col min="12" max="12" width="9.57421875" style="0" bestFit="1" customWidth="1"/>
    <col min="13" max="13" width="11.00390625" style="0" bestFit="1" customWidth="1"/>
    <col min="14" max="14" width="8.00390625" style="0" customWidth="1"/>
    <col min="15" max="16" width="10.7109375" style="0" customWidth="1"/>
    <col min="17" max="17" width="8.28125" style="0" customWidth="1"/>
    <col min="18" max="18" width="9.421875" style="0" bestFit="1" customWidth="1"/>
    <col min="19" max="19" width="9.7109375" style="0" bestFit="1" customWidth="1"/>
    <col min="20" max="20" width="10.57421875" style="0" customWidth="1"/>
    <col min="21" max="21" width="11.00390625" style="0" customWidth="1"/>
    <col min="22" max="22" width="11.140625" style="0" bestFit="1" customWidth="1"/>
    <col min="23" max="23" width="11.00390625" style="0" customWidth="1"/>
    <col min="24" max="24" width="13.421875" style="0" customWidth="1"/>
    <col min="25" max="25" width="14.421875" style="0" bestFit="1" customWidth="1"/>
    <col min="26" max="26" width="14.00390625" style="0" customWidth="1"/>
    <col min="27" max="35" width="11.00390625" style="0" customWidth="1"/>
    <col min="36" max="36" width="12.421875" style="0" customWidth="1"/>
    <col min="37" max="37" width="11.00390625" style="0" customWidth="1"/>
    <col min="38" max="38" width="12.28125" style="0" customWidth="1"/>
    <col min="39" max="42" width="11.00390625" style="0" customWidth="1"/>
    <col min="43" max="43" width="11.421875" style="0" bestFit="1" customWidth="1"/>
    <col min="44" max="44" width="8.28125" style="0" customWidth="1"/>
    <col min="45" max="45" width="9.28125" style="0" customWidth="1"/>
    <col min="46" max="46" width="11.00390625" style="0" customWidth="1"/>
    <col min="47" max="47" width="12.7109375" style="0" bestFit="1" customWidth="1"/>
    <col min="48" max="48" width="11.57421875" style="0" bestFit="1" customWidth="1"/>
    <col min="49" max="49" width="17.421875" style="0" customWidth="1"/>
    <col min="50" max="50" width="18.421875" style="0" bestFit="1" customWidth="1"/>
    <col min="51" max="51" width="16.140625" style="0" bestFit="1" customWidth="1"/>
    <col min="53" max="53" width="12.8515625" style="0" hidden="1" customWidth="1"/>
    <col min="54" max="54" width="24.140625" style="0" customWidth="1"/>
    <col min="55" max="55" width="23.57421875" style="0" customWidth="1"/>
    <col min="56" max="56" width="18.7109375" style="0" customWidth="1"/>
  </cols>
  <sheetData>
    <row r="1" spans="2:54" ht="13.5" thickBot="1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BB1" s="10"/>
    </row>
    <row r="2" spans="1:55" s="60" customFormat="1" ht="27.75" customHeight="1" thickBot="1">
      <c r="A2" s="155"/>
      <c r="B2" s="156"/>
      <c r="C2" s="156"/>
      <c r="D2" s="156"/>
      <c r="E2" s="549" t="s">
        <v>182</v>
      </c>
      <c r="F2" s="550"/>
      <c r="G2" s="551"/>
      <c r="H2" s="549" t="s">
        <v>127</v>
      </c>
      <c r="I2" s="550"/>
      <c r="J2" s="551"/>
      <c r="K2" s="546" t="s">
        <v>101</v>
      </c>
      <c r="L2" s="547"/>
      <c r="M2" s="548"/>
      <c r="N2" s="557" t="s">
        <v>103</v>
      </c>
      <c r="O2" s="524"/>
      <c r="P2" s="525"/>
      <c r="Q2" s="546" t="s">
        <v>144</v>
      </c>
      <c r="R2" s="547"/>
      <c r="S2" s="548"/>
      <c r="T2" s="549" t="s">
        <v>104</v>
      </c>
      <c r="U2" s="550"/>
      <c r="V2" s="551"/>
      <c r="W2" s="549" t="s">
        <v>146</v>
      </c>
      <c r="X2" s="550"/>
      <c r="Y2" s="551"/>
      <c r="Z2" s="549" t="s">
        <v>154</v>
      </c>
      <c r="AA2" s="550"/>
      <c r="AB2" s="551"/>
      <c r="AC2" s="547" t="s">
        <v>102</v>
      </c>
      <c r="AD2" s="547"/>
      <c r="AE2" s="548"/>
      <c r="AF2" s="547" t="s">
        <v>252</v>
      </c>
      <c r="AG2" s="547"/>
      <c r="AH2" s="548"/>
      <c r="AI2" s="549" t="s">
        <v>125</v>
      </c>
      <c r="AJ2" s="550"/>
      <c r="AK2" s="551"/>
      <c r="AL2" s="546" t="s">
        <v>113</v>
      </c>
      <c r="AM2" s="547"/>
      <c r="AN2" s="548"/>
      <c r="AO2" s="546" t="s">
        <v>216</v>
      </c>
      <c r="AP2" s="547"/>
      <c r="AQ2" s="548"/>
      <c r="AR2" s="546" t="s">
        <v>87</v>
      </c>
      <c r="AS2" s="547"/>
      <c r="AT2" s="548"/>
      <c r="AU2" s="549" t="s">
        <v>80</v>
      </c>
      <c r="AV2" s="550"/>
      <c r="AW2" s="551"/>
      <c r="AX2" s="552" t="s">
        <v>223</v>
      </c>
      <c r="AY2" s="553"/>
      <c r="BB2" s="579" t="s">
        <v>253</v>
      </c>
      <c r="BC2" s="579" t="s">
        <v>214</v>
      </c>
    </row>
    <row r="3" spans="1:55" s="60" customFormat="1" ht="13.5" thickBot="1">
      <c r="A3" s="538" t="s">
        <v>107</v>
      </c>
      <c r="B3" s="539"/>
      <c r="C3" s="540"/>
      <c r="D3" s="197"/>
      <c r="E3" s="561">
        <f>'EQ-TM'!C18+'EQ-TM'!C20</f>
        <v>622637</v>
      </c>
      <c r="F3" s="562"/>
      <c r="G3" s="563"/>
      <c r="H3" s="561">
        <f>'EQ-TM'!C19</f>
        <v>1443375</v>
      </c>
      <c r="I3" s="562"/>
      <c r="J3" s="563"/>
      <c r="K3" s="564">
        <f>AFFIDI!C12</f>
        <v>50037</v>
      </c>
      <c r="L3" s="565"/>
      <c r="M3" s="566"/>
      <c r="N3" s="570">
        <f>AFFIDI!C14</f>
        <v>64500</v>
      </c>
      <c r="O3" s="571"/>
      <c r="P3" s="572"/>
      <c r="Q3" s="564">
        <f>'spazio neutro'!C13</f>
        <v>78960</v>
      </c>
      <c r="R3" s="565"/>
      <c r="S3" s="566"/>
      <c r="T3" s="561">
        <f>'EQ-ADM'!C14</f>
        <v>805941</v>
      </c>
      <c r="U3" s="562"/>
      <c r="V3" s="563"/>
      <c r="W3" s="561">
        <f>TRASPORTI!C16</f>
        <v>1769232.39</v>
      </c>
      <c r="X3" s="562"/>
      <c r="Y3" s="563"/>
      <c r="Z3" s="561">
        <f>NIL!C20</f>
        <v>257511.20824933334</v>
      </c>
      <c r="AA3" s="562"/>
      <c r="AB3" s="563"/>
      <c r="AC3" s="564">
        <f>migramondo!C15</f>
        <v>68168</v>
      </c>
      <c r="AD3" s="565"/>
      <c r="AE3" s="566"/>
      <c r="AF3" s="564">
        <f>BADANTI!C12</f>
        <v>41170</v>
      </c>
      <c r="AG3" s="565"/>
      <c r="AH3" s="566"/>
      <c r="AI3" s="561">
        <f>'EQ SAD'!C12</f>
        <v>426496.2</v>
      </c>
      <c r="AJ3" s="562"/>
      <c r="AK3" s="563"/>
      <c r="AL3" s="564">
        <f>'EQ SAD'!C13</f>
        <v>253000</v>
      </c>
      <c r="AM3" s="565"/>
      <c r="AN3" s="566"/>
      <c r="AO3" s="541">
        <f>'SERV SOCI PROF'!C14</f>
        <v>71379.02571428572</v>
      </c>
      <c r="AP3" s="547"/>
      <c r="AQ3" s="548"/>
      <c r="AR3" s="564">
        <f>UDP!C17</f>
        <v>1168152.58</v>
      </c>
      <c r="AS3" s="565"/>
      <c r="AT3" s="566"/>
      <c r="AU3" s="561">
        <f>'ONERI CENT'!C26</f>
        <v>316903.3333333333</v>
      </c>
      <c r="AV3" s="562"/>
      <c r="AW3" s="563"/>
      <c r="AX3" s="582">
        <f>SUM(E3:AW3)</f>
        <v>7437462.737296952</v>
      </c>
      <c r="AY3" s="583"/>
      <c r="BA3" s="81" t="e">
        <f>'CE GENERALE'!#REF!</f>
        <v>#REF!</v>
      </c>
      <c r="BB3" s="580"/>
      <c r="BC3" s="580"/>
    </row>
    <row r="4" spans="1:55" s="60" customFormat="1" ht="13.5" customHeight="1" thickBot="1">
      <c r="A4" s="538" t="s">
        <v>148</v>
      </c>
      <c r="B4" s="539"/>
      <c r="C4" s="540"/>
      <c r="D4" s="197"/>
      <c r="E4" s="561">
        <f>'[2]CE-TM'!$E$12</f>
        <v>200000</v>
      </c>
      <c r="F4" s="562"/>
      <c r="G4" s="563"/>
      <c r="H4" s="535">
        <f>476345-N4</f>
        <v>411845</v>
      </c>
      <c r="I4" s="536"/>
      <c r="J4" s="537"/>
      <c r="K4" s="541">
        <f>K3</f>
        <v>50037</v>
      </c>
      <c r="L4" s="542"/>
      <c r="M4" s="543"/>
      <c r="N4" s="523">
        <f>N3</f>
        <v>64500</v>
      </c>
      <c r="O4" s="544"/>
      <c r="P4" s="545"/>
      <c r="Q4" s="564">
        <f>Q3</f>
        <v>78960</v>
      </c>
      <c r="R4" s="565"/>
      <c r="S4" s="566"/>
      <c r="T4" s="535">
        <f>'[2]CE-ADM'!$E$8</f>
        <v>100000</v>
      </c>
      <c r="U4" s="536"/>
      <c r="V4" s="537"/>
      <c r="W4" s="561">
        <f>'CE-TRASPORTI'!E12</f>
        <v>0</v>
      </c>
      <c r="X4" s="562"/>
      <c r="Y4" s="563"/>
      <c r="Z4" s="561">
        <v>69523</v>
      </c>
      <c r="AA4" s="562"/>
      <c r="AB4" s="563"/>
      <c r="AC4" s="564">
        <f>AC3</f>
        <v>68168</v>
      </c>
      <c r="AD4" s="565"/>
      <c r="AE4" s="566"/>
      <c r="AF4" s="564">
        <f>AF3</f>
        <v>41170</v>
      </c>
      <c r="AG4" s="565"/>
      <c r="AH4" s="566"/>
      <c r="AI4" s="561">
        <v>113770</v>
      </c>
      <c r="AJ4" s="562"/>
      <c r="AK4" s="563"/>
      <c r="AL4" s="576">
        <f>AL3</f>
        <v>253000</v>
      </c>
      <c r="AM4" s="577"/>
      <c r="AN4" s="578"/>
      <c r="AO4" s="567">
        <v>0</v>
      </c>
      <c r="AP4" s="568"/>
      <c r="AQ4" s="569"/>
      <c r="AR4" s="564">
        <f>AR3</f>
        <v>1168152.58</v>
      </c>
      <c r="AS4" s="565"/>
      <c r="AT4" s="566"/>
      <c r="AU4" s="535">
        <f>'[2]RIPARTO'!$AU$4:$AW$4+10000</f>
        <v>110000</v>
      </c>
      <c r="AV4" s="536"/>
      <c r="AW4" s="537"/>
      <c r="AX4" s="582">
        <f>SUM(E4:AW4)</f>
        <v>2729125.58</v>
      </c>
      <c r="AY4" s="583"/>
      <c r="BA4" s="80" t="e">
        <f>'CE GENERALE'!#REF!+'CE GENERALE'!#REF!</f>
        <v>#REF!</v>
      </c>
      <c r="BB4" s="580"/>
      <c r="BC4" s="580"/>
    </row>
    <row r="5" spans="1:55" ht="13.5" thickBot="1">
      <c r="A5" s="520" t="s">
        <v>108</v>
      </c>
      <c r="B5" s="521"/>
      <c r="C5" s="522"/>
      <c r="D5" s="198"/>
      <c r="E5" s="558">
        <f>E3-E4</f>
        <v>422637</v>
      </c>
      <c r="F5" s="559"/>
      <c r="G5" s="560"/>
      <c r="H5" s="558">
        <f>H3-H4</f>
        <v>1031530</v>
      </c>
      <c r="I5" s="559"/>
      <c r="J5" s="560"/>
      <c r="K5" s="507">
        <f>K3-K4</f>
        <v>0</v>
      </c>
      <c r="L5" s="508"/>
      <c r="M5" s="509"/>
      <c r="N5" s="523">
        <f>N3-N4</f>
        <v>0</v>
      </c>
      <c r="O5" s="524"/>
      <c r="P5" s="525"/>
      <c r="Q5" s="507">
        <f>Q3-Q4</f>
        <v>0</v>
      </c>
      <c r="R5" s="508"/>
      <c r="S5" s="509"/>
      <c r="T5" s="558">
        <f>T3-T4</f>
        <v>705941</v>
      </c>
      <c r="U5" s="559"/>
      <c r="V5" s="560"/>
      <c r="W5" s="517">
        <f>W3-W4</f>
        <v>1769232.39</v>
      </c>
      <c r="X5" s="518"/>
      <c r="Y5" s="519"/>
      <c r="Z5" s="517">
        <f>Z3-Z4</f>
        <v>187988.20824933334</v>
      </c>
      <c r="AA5" s="518"/>
      <c r="AB5" s="519"/>
      <c r="AC5" s="507">
        <f>AC3-AC4</f>
        <v>0</v>
      </c>
      <c r="AD5" s="508"/>
      <c r="AE5" s="509"/>
      <c r="AF5" s="162"/>
      <c r="AG5" s="162"/>
      <c r="AH5" s="162"/>
      <c r="AI5" s="517">
        <f>AI3-AI4</f>
        <v>312726.2</v>
      </c>
      <c r="AJ5" s="518"/>
      <c r="AK5" s="519"/>
      <c r="AL5" s="507">
        <f>AL3-AL4</f>
        <v>0</v>
      </c>
      <c r="AM5" s="508"/>
      <c r="AN5" s="509"/>
      <c r="AO5" s="541">
        <f>AO3-AO4</f>
        <v>71379.02571428572</v>
      </c>
      <c r="AP5" s="547"/>
      <c r="AQ5" s="548"/>
      <c r="AR5" s="507">
        <f>AR3-AR4</f>
        <v>0</v>
      </c>
      <c r="AS5" s="508"/>
      <c r="AT5" s="509"/>
      <c r="AU5" s="558">
        <f>AU3-AU4</f>
        <v>206903.3333333333</v>
      </c>
      <c r="AV5" s="559"/>
      <c r="AW5" s="560"/>
      <c r="AX5" s="582">
        <f>SUM(E5:AW5)</f>
        <v>4708337.157296952</v>
      </c>
      <c r="AY5" s="583"/>
      <c r="BA5" s="7" t="e">
        <f>'CE GENERALE'!#REF!</f>
        <v>#REF!</v>
      </c>
      <c r="BB5" s="580"/>
      <c r="BC5" s="580"/>
    </row>
    <row r="6" spans="1:55" s="46" customFormat="1" ht="37.5" customHeight="1" thickBot="1">
      <c r="A6" s="157" t="s">
        <v>71</v>
      </c>
      <c r="B6" s="185" t="s">
        <v>72</v>
      </c>
      <c r="C6" s="158" t="s">
        <v>73</v>
      </c>
      <c r="D6" s="158"/>
      <c r="E6" s="2" t="s">
        <v>78</v>
      </c>
      <c r="F6" s="3" t="s">
        <v>76</v>
      </c>
      <c r="G6" s="2" t="s">
        <v>75</v>
      </c>
      <c r="H6" s="58" t="s">
        <v>79</v>
      </c>
      <c r="I6" s="3" t="s">
        <v>76</v>
      </c>
      <c r="J6" s="2" t="s">
        <v>75</v>
      </c>
      <c r="K6" s="2" t="s">
        <v>78</v>
      </c>
      <c r="L6" s="3" t="s">
        <v>76</v>
      </c>
      <c r="M6" s="2" t="s">
        <v>75</v>
      </c>
      <c r="N6" s="165" t="s">
        <v>159</v>
      </c>
      <c r="O6" s="3" t="s">
        <v>76</v>
      </c>
      <c r="P6" s="2" t="s">
        <v>75</v>
      </c>
      <c r="Q6" s="2" t="s">
        <v>78</v>
      </c>
      <c r="R6" s="3" t="s">
        <v>76</v>
      </c>
      <c r="S6" s="2" t="s">
        <v>75</v>
      </c>
      <c r="T6" s="2" t="s">
        <v>184</v>
      </c>
      <c r="U6" s="3" t="s">
        <v>76</v>
      </c>
      <c r="V6" s="2" t="s">
        <v>75</v>
      </c>
      <c r="W6" s="3" t="s">
        <v>147</v>
      </c>
      <c r="X6" s="3" t="s">
        <v>76</v>
      </c>
      <c r="Y6" s="2" t="s">
        <v>75</v>
      </c>
      <c r="Z6" s="3" t="s">
        <v>265</v>
      </c>
      <c r="AA6" s="3" t="s">
        <v>76</v>
      </c>
      <c r="AB6" s="2" t="s">
        <v>75</v>
      </c>
      <c r="AC6" s="2" t="s">
        <v>78</v>
      </c>
      <c r="AD6" s="3" t="s">
        <v>76</v>
      </c>
      <c r="AE6" s="2" t="s">
        <v>75</v>
      </c>
      <c r="AF6" s="2"/>
      <c r="AG6" s="2"/>
      <c r="AH6" s="2"/>
      <c r="AI6" s="3" t="s">
        <v>183</v>
      </c>
      <c r="AJ6" s="3" t="s">
        <v>76</v>
      </c>
      <c r="AK6" s="2" t="s">
        <v>75</v>
      </c>
      <c r="AL6" s="2"/>
      <c r="AM6" s="2"/>
      <c r="AN6" s="2"/>
      <c r="AO6" s="3" t="s">
        <v>183</v>
      </c>
      <c r="AP6" s="3" t="s">
        <v>76</v>
      </c>
      <c r="AQ6" s="2" t="s">
        <v>75</v>
      </c>
      <c r="AR6" s="2" t="s">
        <v>74</v>
      </c>
      <c r="AS6" s="3" t="s">
        <v>77</v>
      </c>
      <c r="AT6" s="2" t="s">
        <v>75</v>
      </c>
      <c r="AU6" s="45" t="s">
        <v>83</v>
      </c>
      <c r="AV6" s="85" t="s">
        <v>81</v>
      </c>
      <c r="AW6" s="45" t="s">
        <v>84</v>
      </c>
      <c r="AX6" s="2" t="s">
        <v>0</v>
      </c>
      <c r="AY6" s="48" t="s">
        <v>10</v>
      </c>
      <c r="BA6" s="82" t="e">
        <f>SUM(BA4:BA5)</f>
        <v>#REF!</v>
      </c>
      <c r="BB6" s="580"/>
      <c r="BC6" s="580"/>
    </row>
    <row r="7" spans="1:55" s="64" customFormat="1" ht="13.5" customHeight="1" thickBot="1">
      <c r="A7" s="159"/>
      <c r="B7" s="186"/>
      <c r="C7" s="184"/>
      <c r="D7" s="184"/>
      <c r="E7" s="318"/>
      <c r="F7" s="62">
        <v>0.1</v>
      </c>
      <c r="G7" s="149">
        <v>0.9</v>
      </c>
      <c r="H7" s="65"/>
      <c r="I7" s="62">
        <v>0</v>
      </c>
      <c r="J7" s="62">
        <v>1</v>
      </c>
      <c r="K7" s="61"/>
      <c r="L7" s="62"/>
      <c r="M7" s="129"/>
      <c r="N7" s="131"/>
      <c r="O7" s="130"/>
      <c r="P7" s="62"/>
      <c r="Q7" s="61"/>
      <c r="R7" s="63"/>
      <c r="S7" s="132"/>
      <c r="T7" s="135"/>
      <c r="U7" s="133">
        <v>0.1</v>
      </c>
      <c r="V7" s="68">
        <v>0.9</v>
      </c>
      <c r="W7" s="63"/>
      <c r="X7" s="63">
        <v>0</v>
      </c>
      <c r="Y7" s="63">
        <v>1</v>
      </c>
      <c r="Z7" s="410"/>
      <c r="AA7" s="63">
        <v>0.6</v>
      </c>
      <c r="AB7" s="63">
        <v>0.4</v>
      </c>
      <c r="AC7" s="63"/>
      <c r="AD7" s="63"/>
      <c r="AE7" s="132"/>
      <c r="AF7" s="139"/>
      <c r="AG7" s="139"/>
      <c r="AH7" s="134"/>
      <c r="AI7" s="138"/>
      <c r="AJ7" s="133">
        <v>0</v>
      </c>
      <c r="AK7" s="63">
        <v>1</v>
      </c>
      <c r="AL7" s="63"/>
      <c r="AM7" s="63"/>
      <c r="AN7" s="63"/>
      <c r="AO7" s="63"/>
      <c r="AP7" s="63">
        <v>0</v>
      </c>
      <c r="AQ7" s="63">
        <v>1</v>
      </c>
      <c r="AR7" s="61"/>
      <c r="AS7" s="63"/>
      <c r="AT7" s="63"/>
      <c r="AU7" s="61"/>
      <c r="AV7" s="62">
        <v>0.5</v>
      </c>
      <c r="AW7" s="62">
        <v>0.5</v>
      </c>
      <c r="AX7" s="61"/>
      <c r="AY7" s="65"/>
      <c r="BB7" s="581"/>
      <c r="BC7" s="581"/>
    </row>
    <row r="8" spans="1:56" ht="15.75">
      <c r="A8" s="181" t="s">
        <v>128</v>
      </c>
      <c r="B8" s="432">
        <v>19543</v>
      </c>
      <c r="C8" s="433">
        <f>B8/$B$17</f>
        <v>0.11628861807968773</v>
      </c>
      <c r="D8" s="434">
        <v>0.12159367130529328</v>
      </c>
      <c r="E8" s="435">
        <v>51</v>
      </c>
      <c r="F8" s="55">
        <f>$E$5*$F$7*C8</f>
        <v>4914.787267934498</v>
      </c>
      <c r="G8" s="55">
        <f aca="true" t="shared" si="0" ref="G8:G16">IF(E8=0,0,$E$5*$G$7*E8/$E$17)</f>
        <v>40840.08063157895</v>
      </c>
      <c r="H8" s="425">
        <v>413</v>
      </c>
      <c r="I8" s="426">
        <f aca="true" t="shared" si="1" ref="I8:I13">$I$7*$H$5*C8</f>
        <v>0</v>
      </c>
      <c r="J8" s="427">
        <f>H8/$H$17*$J$7*$H$5</f>
        <v>23993.122888037844</v>
      </c>
      <c r="K8" s="56"/>
      <c r="L8" s="55">
        <f aca="true" t="shared" si="2" ref="L8:L16">$K$4*$L$7*$C8</f>
        <v>0</v>
      </c>
      <c r="M8" s="127">
        <f aca="true" t="shared" si="3" ref="M8:M16">IF(K8=0,0,$K$4*$M$7*K8/$K$17)</f>
        <v>0</v>
      </c>
      <c r="N8" s="166"/>
      <c r="O8" s="128">
        <f aca="true" t="shared" si="4" ref="O8:O16">$N$4*$O$7*$C8</f>
        <v>0</v>
      </c>
      <c r="P8" s="55">
        <f aca="true" t="shared" si="5" ref="P8:P16">IF(N8=0,0,$N$5*$P$7*N8/$N$17)</f>
        <v>0</v>
      </c>
      <c r="Q8" s="56"/>
      <c r="R8" s="55">
        <f aca="true" t="shared" si="6" ref="R8:R16">$Q$4*$R$7*$C8</f>
        <v>0</v>
      </c>
      <c r="S8" s="127">
        <f aca="true" t="shared" si="7" ref="S8:S16">IF(Q8=0,0,$Q$4*$S$7*Q8/$Q$17)</f>
        <v>0</v>
      </c>
      <c r="T8" s="421">
        <v>1319</v>
      </c>
      <c r="U8" s="128">
        <f>$T$5*$U$7*$C8</f>
        <v>8209.290333579283</v>
      </c>
      <c r="V8" s="127">
        <f aca="true" t="shared" si="8" ref="V8:V16">IF(T8=0,0,$T$5*$V$7*T8/$T$17)</f>
        <v>22455.654253865323</v>
      </c>
      <c r="W8" s="419">
        <v>0.0965</v>
      </c>
      <c r="X8" s="128">
        <f>$W$5*$X$7*$C8</f>
        <v>0</v>
      </c>
      <c r="Y8" s="55">
        <f aca="true" t="shared" si="9" ref="Y8:Y16">IF(W8=0,0,$W$5*$Y$7*W8/$W$17)</f>
        <v>170730.925635</v>
      </c>
      <c r="Z8" s="411">
        <v>19</v>
      </c>
      <c r="AA8" s="55">
        <f>$Z$5*$AA$7*$D8</f>
        <v>13714.905841884276</v>
      </c>
      <c r="AB8" s="55">
        <f>IF(Z8=0,0,$Z$5*$AB$7*Z8/$Z$17)</f>
        <v>4960.799939912964</v>
      </c>
      <c r="AC8" s="55"/>
      <c r="AD8" s="55">
        <f aca="true" t="shared" si="10" ref="AD8:AD16">$AC$4*$AD$7*$C8</f>
        <v>0</v>
      </c>
      <c r="AE8" s="127">
        <f aca="true" t="shared" si="11" ref="AE8:AE16">IF(AC8=0,0,$AC$4*$AE$7*AC8/$AC$17)</f>
        <v>0</v>
      </c>
      <c r="AF8" s="140"/>
      <c r="AG8" s="137"/>
      <c r="AH8" s="141"/>
      <c r="AI8" s="128"/>
      <c r="AJ8" s="128">
        <f>$AI$5*$AJ$7*$C8</f>
        <v>0</v>
      </c>
      <c r="AK8" s="55">
        <f aca="true" t="shared" si="12" ref="AK8:AK16">IF(AI8=0,0,$AI$5*$AK$7*AI8/$AI$17)</f>
        <v>0</v>
      </c>
      <c r="AL8" s="55"/>
      <c r="AM8" s="55"/>
      <c r="AN8" s="55"/>
      <c r="AO8" s="55">
        <v>1152</v>
      </c>
      <c r="AP8" s="55"/>
      <c r="AQ8" s="55">
        <f>IF(AO8=0,0,$AO$5*$AQ$7*AO8/$AO$17)</f>
        <v>22652.517251475794</v>
      </c>
      <c r="AR8" s="55"/>
      <c r="AS8" s="55">
        <f aca="true" t="shared" si="13" ref="AS8:AS16">$AR$4*$AS$7*$C8</f>
        <v>0</v>
      </c>
      <c r="AT8" s="55">
        <f aca="true" t="shared" si="14" ref="AT8:AT16">IF(AR8=0,0,$AR$4*$AT$7*$AR8/$AR$17)</f>
        <v>0</v>
      </c>
      <c r="AU8" s="55">
        <f>G8+J8+M8+P8+S8+V8+Y8+AB8+AE8+AT8+AN8+AK8+AQ8</f>
        <v>285633.10059987084</v>
      </c>
      <c r="AV8" s="55">
        <f aca="true" t="shared" si="15" ref="AV8:AV16">$AU$5*$AV$7*$C8</f>
        <v>12030.25135470716</v>
      </c>
      <c r="AW8" s="55">
        <f aca="true" t="shared" si="16" ref="AW8:AW16">IF(AU8=0,0,$AU$5*$AW$7*AU8/$AU$17)</f>
        <v>6910.83238507544</v>
      </c>
      <c r="AX8" s="51">
        <f>F8+G8+I8+J8+L8+M8+O8+P8+R8+S8+U8+V8+X8+Y8+AA8+AB8+AD8+AE8+AJ8+AK8+AM8+AN8+AS8+AT8+AV8+AW8+AQ8+AP8</f>
        <v>331413.16778305155</v>
      </c>
      <c r="AY8" s="83">
        <f aca="true" t="shared" si="17" ref="AY8:AY16">AX8/$AX$17</f>
        <v>0.07038858023780846</v>
      </c>
      <c r="BB8" s="274">
        <v>363482.4521118126</v>
      </c>
      <c r="BC8" s="274">
        <f>AX8-BB8</f>
        <v>-32069.284328761045</v>
      </c>
      <c r="BD8" s="397"/>
    </row>
    <row r="9" spans="1:56" ht="15.75">
      <c r="A9" s="182" t="s">
        <v>129</v>
      </c>
      <c r="B9" s="432">
        <v>20466</v>
      </c>
      <c r="C9" s="433">
        <f aca="true" t="shared" si="18" ref="C9:C16">B9/$B$17</f>
        <v>0.12178083495977532</v>
      </c>
      <c r="D9" s="434">
        <v>0.12779239281898108</v>
      </c>
      <c r="E9" s="436">
        <v>60</v>
      </c>
      <c r="F9" s="55">
        <f aca="true" t="shared" si="19" ref="F9:F16">$E$5*$F$7*C9</f>
        <v>5146.908674489457</v>
      </c>
      <c r="G9" s="55">
        <f t="shared" si="0"/>
        <v>48047.15368421053</v>
      </c>
      <c r="H9" s="428">
        <v>2190</v>
      </c>
      <c r="I9" s="426">
        <f t="shared" si="1"/>
        <v>0</v>
      </c>
      <c r="J9" s="427">
        <f aca="true" t="shared" si="20" ref="J9:J16">H9/$H$17*$J$7*$H$5</f>
        <v>127227.45550799729</v>
      </c>
      <c r="K9" s="56"/>
      <c r="L9" s="55">
        <f t="shared" si="2"/>
        <v>0</v>
      </c>
      <c r="M9" s="127">
        <f t="shared" si="3"/>
        <v>0</v>
      </c>
      <c r="N9" s="166"/>
      <c r="O9" s="128">
        <f t="shared" si="4"/>
        <v>0</v>
      </c>
      <c r="P9" s="55">
        <f t="shared" si="5"/>
        <v>0</v>
      </c>
      <c r="Q9" s="56"/>
      <c r="R9" s="55">
        <f t="shared" si="6"/>
        <v>0</v>
      </c>
      <c r="S9" s="127">
        <f t="shared" si="7"/>
        <v>0</v>
      </c>
      <c r="T9" s="421">
        <v>7188</v>
      </c>
      <c r="U9" s="128">
        <f aca="true" t="shared" si="21" ref="U9:U16">$T$5*$U$7*$C9</f>
        <v>8597.008441233875</v>
      </c>
      <c r="V9" s="127">
        <f t="shared" si="8"/>
        <v>122373.95206731155</v>
      </c>
      <c r="W9" s="419">
        <v>0.123</v>
      </c>
      <c r="X9" s="128">
        <f aca="true" t="shared" si="22" ref="X9:X16">$W$5*$X$7*$C9</f>
        <v>0</v>
      </c>
      <c r="Y9" s="55">
        <f t="shared" si="9"/>
        <v>217615.58396999998</v>
      </c>
      <c r="Z9" s="411">
        <v>26</v>
      </c>
      <c r="AA9" s="55">
        <f aca="true" t="shared" si="23" ref="AA9:AA16">$Z$5*$AA$7*$D9</f>
        <v>14414.077772361135</v>
      </c>
      <c r="AB9" s="55">
        <f aca="true" t="shared" si="24" ref="AB9:AB16">IF(Z9=0,0,$Z$5*$AB$7*Z9/$Z$17)</f>
        <v>6788.463075670372</v>
      </c>
      <c r="AC9" s="55"/>
      <c r="AD9" s="55">
        <f t="shared" si="10"/>
        <v>0</v>
      </c>
      <c r="AE9" s="127">
        <f t="shared" si="11"/>
        <v>0</v>
      </c>
      <c r="AF9" s="140"/>
      <c r="AG9" s="137"/>
      <c r="AH9" s="141"/>
      <c r="AI9" s="128">
        <v>2979</v>
      </c>
      <c r="AJ9" s="128">
        <f aca="true" t="shared" si="25" ref="AJ9:AJ16">$AI$5*$AJ$7*$C9</f>
        <v>0</v>
      </c>
      <c r="AK9" s="55">
        <f t="shared" si="12"/>
        <v>45837.99201928754</v>
      </c>
      <c r="AL9" s="55"/>
      <c r="AM9" s="55"/>
      <c r="AN9" s="55"/>
      <c r="AO9" s="55"/>
      <c r="AP9" s="55"/>
      <c r="AQ9" s="55">
        <f aca="true" t="shared" si="26" ref="AQ9:AQ16">IF(AO9=0,0,$AO$5*$AQ$7*AO9/$AO$17)</f>
        <v>0</v>
      </c>
      <c r="AR9" s="56"/>
      <c r="AS9" s="55">
        <f t="shared" si="13"/>
        <v>0</v>
      </c>
      <c r="AT9" s="55">
        <f t="shared" si="14"/>
        <v>0</v>
      </c>
      <c r="AU9" s="55">
        <f aca="true" t="shared" si="27" ref="AU9:AU16">G9+J9+M9+P9+S9+V9+Y9+AB9+AE9+AT9+AN9+AK9+AQ9</f>
        <v>567890.6003244773</v>
      </c>
      <c r="AV9" s="55">
        <f t="shared" si="15"/>
        <v>12598.430344647022</v>
      </c>
      <c r="AW9" s="55">
        <f t="shared" si="16"/>
        <v>13739.99282177069</v>
      </c>
      <c r="AX9" s="51">
        <f aca="true" t="shared" si="28" ref="AX9:AX16">F9+G9+I9+J9+L9+M9+O9+P9+R9+S9+U9+V9+X9+Y9+AA9+AB9+AD9+AE9+AJ9+AK9+AM9+AN9+AS9+AT9+AV9+AW9+AQ9+AP9</f>
        <v>622387.0183789794</v>
      </c>
      <c r="AY9" s="83">
        <f t="shared" si="17"/>
        <v>0.13218828592476808</v>
      </c>
      <c r="BB9" s="35">
        <v>647911.7988591135</v>
      </c>
      <c r="BC9" s="276">
        <f aca="true" t="shared" si="29" ref="BC9:BC17">AX9-BB9</f>
        <v>-25524.780480134068</v>
      </c>
      <c r="BD9" s="397"/>
    </row>
    <row r="10" spans="1:56" ht="15.75">
      <c r="A10" s="182" t="s">
        <v>130</v>
      </c>
      <c r="B10" s="432">
        <v>25062</v>
      </c>
      <c r="C10" s="433">
        <f t="shared" si="18"/>
        <v>0.14912886180796878</v>
      </c>
      <c r="D10" s="434">
        <v>0.1528934657226947</v>
      </c>
      <c r="E10" s="436">
        <v>67</v>
      </c>
      <c r="F10" s="55">
        <f t="shared" si="19"/>
        <v>6302.737476793451</v>
      </c>
      <c r="G10" s="55">
        <f t="shared" si="0"/>
        <v>53652.65494736841</v>
      </c>
      <c r="H10" s="428">
        <v>1552</v>
      </c>
      <c r="I10" s="426">
        <f t="shared" si="1"/>
        <v>0</v>
      </c>
      <c r="J10" s="427">
        <f t="shared" si="20"/>
        <v>90163.01869790493</v>
      </c>
      <c r="K10" s="56"/>
      <c r="L10" s="55">
        <f t="shared" si="2"/>
        <v>0</v>
      </c>
      <c r="M10" s="127">
        <f t="shared" si="3"/>
        <v>0</v>
      </c>
      <c r="N10" s="166"/>
      <c r="O10" s="128">
        <f t="shared" si="4"/>
        <v>0</v>
      </c>
      <c r="P10" s="55">
        <f t="shared" si="5"/>
        <v>0</v>
      </c>
      <c r="Q10" s="56"/>
      <c r="R10" s="55">
        <f t="shared" si="6"/>
        <v>0</v>
      </c>
      <c r="S10" s="127">
        <f t="shared" si="7"/>
        <v>0</v>
      </c>
      <c r="T10" s="421">
        <v>1600</v>
      </c>
      <c r="U10" s="128">
        <f t="shared" si="21"/>
        <v>10527.61778335793</v>
      </c>
      <c r="V10" s="127">
        <f t="shared" si="8"/>
        <v>27239.61092205043</v>
      </c>
      <c r="W10" s="419">
        <v>0.223</v>
      </c>
      <c r="X10" s="128">
        <f t="shared" si="22"/>
        <v>0</v>
      </c>
      <c r="Y10" s="55">
        <f t="shared" si="9"/>
        <v>394538.82297</v>
      </c>
      <c r="Z10" s="411">
        <v>59</v>
      </c>
      <c r="AA10" s="55">
        <f t="shared" si="23"/>
        <v>17245.301204544143</v>
      </c>
      <c r="AB10" s="55">
        <f t="shared" si="24"/>
        <v>15404.589287098152</v>
      </c>
      <c r="AC10" s="55"/>
      <c r="AD10" s="55">
        <f t="shared" si="10"/>
        <v>0</v>
      </c>
      <c r="AE10" s="127">
        <f t="shared" si="11"/>
        <v>0</v>
      </c>
      <c r="AF10" s="140"/>
      <c r="AG10" s="137"/>
      <c r="AH10" s="141"/>
      <c r="AI10" s="128">
        <v>5714</v>
      </c>
      <c r="AJ10" s="128">
        <f t="shared" si="25"/>
        <v>0</v>
      </c>
      <c r="AK10" s="55">
        <f t="shared" si="12"/>
        <v>87921.54629010038</v>
      </c>
      <c r="AL10" s="55"/>
      <c r="AM10" s="55"/>
      <c r="AN10" s="55"/>
      <c r="AO10" s="55"/>
      <c r="AP10" s="55"/>
      <c r="AQ10" s="55">
        <f t="shared" si="26"/>
        <v>0</v>
      </c>
      <c r="AR10" s="56"/>
      <c r="AS10" s="55">
        <f t="shared" si="13"/>
        <v>0</v>
      </c>
      <c r="AT10" s="55">
        <f t="shared" si="14"/>
        <v>0</v>
      </c>
      <c r="AU10" s="55">
        <f t="shared" si="27"/>
        <v>668920.2431145222</v>
      </c>
      <c r="AV10" s="55">
        <f t="shared" si="15"/>
        <v>15427.629302137382</v>
      </c>
      <c r="AW10" s="55">
        <f t="shared" si="16"/>
        <v>16184.383635649494</v>
      </c>
      <c r="AX10" s="51">
        <f t="shared" si="28"/>
        <v>734607.9125170048</v>
      </c>
      <c r="AY10" s="83">
        <f t="shared" si="17"/>
        <v>0.15602279275572137</v>
      </c>
      <c r="BB10" s="35">
        <v>741845.0320455584</v>
      </c>
      <c r="BC10" s="276">
        <f t="shared" si="29"/>
        <v>-7237.119528553681</v>
      </c>
      <c r="BD10" s="397"/>
    </row>
    <row r="11" spans="1:56" s="43" customFormat="1" ht="15.75">
      <c r="A11" s="182" t="s">
        <v>131</v>
      </c>
      <c r="B11" s="432">
        <v>10533</v>
      </c>
      <c r="C11" s="433">
        <f t="shared" si="18"/>
        <v>0.06267553672585328</v>
      </c>
      <c r="D11" s="434">
        <v>0.06411177694600488</v>
      </c>
      <c r="E11" s="436">
        <v>15</v>
      </c>
      <c r="F11" s="55">
        <f t="shared" si="19"/>
        <v>2648.900081520446</v>
      </c>
      <c r="G11" s="55">
        <f t="shared" si="0"/>
        <v>12011.788421052632</v>
      </c>
      <c r="H11" s="428">
        <v>846</v>
      </c>
      <c r="I11" s="426">
        <f t="shared" si="1"/>
        <v>0</v>
      </c>
      <c r="J11" s="427">
        <f t="shared" si="20"/>
        <v>49148.140346924985</v>
      </c>
      <c r="K11" s="57"/>
      <c r="L11" s="55">
        <f t="shared" si="2"/>
        <v>0</v>
      </c>
      <c r="M11" s="127">
        <f t="shared" si="3"/>
        <v>0</v>
      </c>
      <c r="N11" s="166"/>
      <c r="O11" s="128">
        <f t="shared" si="4"/>
        <v>0</v>
      </c>
      <c r="P11" s="55">
        <f t="shared" si="5"/>
        <v>0</v>
      </c>
      <c r="Q11" s="57"/>
      <c r="R11" s="55">
        <f t="shared" si="6"/>
        <v>0</v>
      </c>
      <c r="S11" s="127">
        <f t="shared" si="7"/>
        <v>0</v>
      </c>
      <c r="T11" s="421">
        <v>3467</v>
      </c>
      <c r="U11" s="128">
        <f t="shared" si="21"/>
        <v>4424.523107178559</v>
      </c>
      <c r="V11" s="127">
        <f t="shared" si="8"/>
        <v>59024.83191671803</v>
      </c>
      <c r="W11" s="419">
        <v>0.1005</v>
      </c>
      <c r="X11" s="128">
        <f t="shared" si="22"/>
        <v>0</v>
      </c>
      <c r="Y11" s="55">
        <f t="shared" si="9"/>
        <v>177807.855195</v>
      </c>
      <c r="Z11" s="411">
        <v>6</v>
      </c>
      <c r="AA11" s="55">
        <f t="shared" si="23"/>
        <v>7231.354845456224</v>
      </c>
      <c r="AB11" s="55">
        <f t="shared" si="24"/>
        <v>1566.568402077778</v>
      </c>
      <c r="AC11" s="55"/>
      <c r="AD11" s="55">
        <f t="shared" si="10"/>
        <v>0</v>
      </c>
      <c r="AE11" s="127">
        <f t="shared" si="11"/>
        <v>0</v>
      </c>
      <c r="AF11" s="140"/>
      <c r="AG11" s="137"/>
      <c r="AH11" s="141"/>
      <c r="AI11" s="128">
        <v>2150</v>
      </c>
      <c r="AJ11" s="128">
        <f t="shared" si="25"/>
        <v>0</v>
      </c>
      <c r="AK11" s="55">
        <f t="shared" si="12"/>
        <v>33082.13589844519</v>
      </c>
      <c r="AL11" s="55"/>
      <c r="AM11" s="55"/>
      <c r="AN11" s="55"/>
      <c r="AO11" s="55"/>
      <c r="AP11" s="55"/>
      <c r="AQ11" s="55">
        <f t="shared" si="26"/>
        <v>0</v>
      </c>
      <c r="AR11" s="57"/>
      <c r="AS11" s="55">
        <f t="shared" si="13"/>
        <v>0</v>
      </c>
      <c r="AT11" s="55">
        <f t="shared" si="14"/>
        <v>0</v>
      </c>
      <c r="AU11" s="55">
        <f t="shared" si="27"/>
        <v>332641.3201802186</v>
      </c>
      <c r="AV11" s="55">
        <f t="shared" si="15"/>
        <v>6483.888733517398</v>
      </c>
      <c r="AW11" s="55">
        <f t="shared" si="16"/>
        <v>8048.186303645588</v>
      </c>
      <c r="AX11" s="51">
        <f t="shared" si="28"/>
        <v>361478.17325153685</v>
      </c>
      <c r="AY11" s="83">
        <f t="shared" si="17"/>
        <v>0.07677406293882759</v>
      </c>
      <c r="BB11" s="35">
        <v>342281.4593045069</v>
      </c>
      <c r="BC11" s="276">
        <f t="shared" si="29"/>
        <v>19196.71394702996</v>
      </c>
      <c r="BD11" s="397"/>
    </row>
    <row r="12" spans="1:56" ht="15.75">
      <c r="A12" s="182" t="s">
        <v>132</v>
      </c>
      <c r="B12" s="432">
        <v>8209</v>
      </c>
      <c r="C12" s="433">
        <f t="shared" si="18"/>
        <v>0.048846812967106204</v>
      </c>
      <c r="D12" s="434">
        <v>0.05121443702236414</v>
      </c>
      <c r="E12" s="436">
        <v>15</v>
      </c>
      <c r="F12" s="55">
        <f t="shared" si="19"/>
        <v>2064.447049197887</v>
      </c>
      <c r="G12" s="55">
        <f t="shared" si="0"/>
        <v>12011.788421052632</v>
      </c>
      <c r="H12" s="428"/>
      <c r="I12" s="426">
        <f t="shared" si="1"/>
        <v>0</v>
      </c>
      <c r="J12" s="427">
        <f t="shared" si="20"/>
        <v>0</v>
      </c>
      <c r="K12" s="56"/>
      <c r="L12" s="55">
        <f t="shared" si="2"/>
        <v>0</v>
      </c>
      <c r="M12" s="127">
        <f t="shared" si="3"/>
        <v>0</v>
      </c>
      <c r="N12" s="166"/>
      <c r="O12" s="128">
        <f t="shared" si="4"/>
        <v>0</v>
      </c>
      <c r="P12" s="55">
        <f t="shared" si="5"/>
        <v>0</v>
      </c>
      <c r="Q12" s="56"/>
      <c r="R12" s="55">
        <f t="shared" si="6"/>
        <v>0</v>
      </c>
      <c r="S12" s="127">
        <f t="shared" si="7"/>
        <v>0</v>
      </c>
      <c r="T12" s="421">
        <v>4160</v>
      </c>
      <c r="U12" s="128">
        <f t="shared" si="21"/>
        <v>3448.2967992811923</v>
      </c>
      <c r="V12" s="127">
        <f t="shared" si="8"/>
        <v>70822.98839733112</v>
      </c>
      <c r="W12" s="419">
        <v>0.053</v>
      </c>
      <c r="X12" s="128">
        <f t="shared" si="22"/>
        <v>0</v>
      </c>
      <c r="Y12" s="55">
        <f t="shared" si="9"/>
        <v>93769.31666999999</v>
      </c>
      <c r="Z12" s="411">
        <v>0</v>
      </c>
      <c r="AA12" s="55">
        <f t="shared" si="23"/>
        <v>5776.626151399534</v>
      </c>
      <c r="AB12" s="55">
        <f t="shared" si="24"/>
        <v>0</v>
      </c>
      <c r="AC12" s="55"/>
      <c r="AD12" s="55">
        <f t="shared" si="10"/>
        <v>0</v>
      </c>
      <c r="AE12" s="127">
        <f t="shared" si="11"/>
        <v>0</v>
      </c>
      <c r="AF12" s="140"/>
      <c r="AG12" s="137"/>
      <c r="AH12" s="141"/>
      <c r="AI12" s="128"/>
      <c r="AJ12" s="128">
        <f t="shared" si="25"/>
        <v>0</v>
      </c>
      <c r="AK12" s="55">
        <f t="shared" si="12"/>
        <v>0</v>
      </c>
      <c r="AL12" s="55"/>
      <c r="AM12" s="55"/>
      <c r="AN12" s="55"/>
      <c r="AO12" s="55">
        <v>1560</v>
      </c>
      <c r="AP12" s="55"/>
      <c r="AQ12" s="55">
        <f t="shared" si="26"/>
        <v>30675.283778040142</v>
      </c>
      <c r="AR12" s="56"/>
      <c r="AS12" s="55">
        <f t="shared" si="13"/>
        <v>0</v>
      </c>
      <c r="AT12" s="55">
        <f t="shared" si="14"/>
        <v>0</v>
      </c>
      <c r="AU12" s="55">
        <f t="shared" si="27"/>
        <v>207279.3772664239</v>
      </c>
      <c r="AV12" s="55">
        <f t="shared" si="15"/>
        <v>5053.284212802081</v>
      </c>
      <c r="AW12" s="55">
        <f t="shared" si="16"/>
        <v>5015.080640733414</v>
      </c>
      <c r="AX12" s="51">
        <f>F12+G12+I12+J12+L12+M12+O12+P12+R12+S12+U12+V12+X12+Y12+AA12+AB12+AD12+AE12+AJ12+AK12+AM12+AN12+AS12+AT12+AV12+AW12+AQ12+AP12</f>
        <v>228637.11211983798</v>
      </c>
      <c r="AY12" s="83">
        <f t="shared" si="17"/>
        <v>0.04856005517053883</v>
      </c>
      <c r="AZ12" s="49"/>
      <c r="BB12" s="35">
        <v>244584.2068540748</v>
      </c>
      <c r="BC12" s="276">
        <f t="shared" si="29"/>
        <v>-15947.094734236802</v>
      </c>
      <c r="BD12" s="397"/>
    </row>
    <row r="13" spans="1:56" ht="15.75">
      <c r="A13" s="182" t="s">
        <v>133</v>
      </c>
      <c r="B13" s="432">
        <v>6481</v>
      </c>
      <c r="C13" s="433">
        <f t="shared" si="18"/>
        <v>0.03856452611034417</v>
      </c>
      <c r="D13" s="434">
        <v>0</v>
      </c>
      <c r="E13" s="435">
        <v>3</v>
      </c>
      <c r="F13" s="55">
        <f t="shared" si="19"/>
        <v>1629.8795621697532</v>
      </c>
      <c r="G13" s="55">
        <f t="shared" si="0"/>
        <v>2402.3576842105263</v>
      </c>
      <c r="H13" s="428">
        <v>365</v>
      </c>
      <c r="I13" s="426">
        <f t="shared" si="1"/>
        <v>0</v>
      </c>
      <c r="J13" s="427">
        <f t="shared" si="20"/>
        <v>21204.575917999548</v>
      </c>
      <c r="K13" s="56"/>
      <c r="L13" s="55">
        <f t="shared" si="2"/>
        <v>0</v>
      </c>
      <c r="M13" s="127">
        <f t="shared" si="3"/>
        <v>0</v>
      </c>
      <c r="N13" s="166"/>
      <c r="O13" s="128">
        <f t="shared" si="4"/>
        <v>0</v>
      </c>
      <c r="P13" s="55">
        <f t="shared" si="5"/>
        <v>0</v>
      </c>
      <c r="Q13" s="56"/>
      <c r="R13" s="55">
        <f t="shared" si="6"/>
        <v>0</v>
      </c>
      <c r="S13" s="127">
        <f t="shared" si="7"/>
        <v>0</v>
      </c>
      <c r="T13" s="421">
        <v>943</v>
      </c>
      <c r="U13" s="128">
        <f t="shared" si="21"/>
        <v>2722.4280126862477</v>
      </c>
      <c r="V13" s="127">
        <f t="shared" si="8"/>
        <v>16054.345687183473</v>
      </c>
      <c r="W13" s="419"/>
      <c r="X13" s="128">
        <f t="shared" si="22"/>
        <v>0</v>
      </c>
      <c r="Y13" s="55">
        <f t="shared" si="9"/>
        <v>0</v>
      </c>
      <c r="Z13" s="411">
        <v>14</v>
      </c>
      <c r="AA13" s="55">
        <f t="shared" si="23"/>
        <v>0</v>
      </c>
      <c r="AB13" s="55">
        <f t="shared" si="24"/>
        <v>3655.3262715148157</v>
      </c>
      <c r="AC13" s="55"/>
      <c r="AD13" s="55">
        <f t="shared" si="10"/>
        <v>0</v>
      </c>
      <c r="AE13" s="127">
        <f t="shared" si="11"/>
        <v>0</v>
      </c>
      <c r="AF13" s="140"/>
      <c r="AG13" s="137"/>
      <c r="AH13" s="141"/>
      <c r="AI13" s="128"/>
      <c r="AJ13" s="128">
        <f t="shared" si="25"/>
        <v>0</v>
      </c>
      <c r="AK13" s="55">
        <f t="shared" si="12"/>
        <v>0</v>
      </c>
      <c r="AL13" s="55"/>
      <c r="AM13" s="55"/>
      <c r="AN13" s="55"/>
      <c r="AO13" s="55"/>
      <c r="AP13" s="55"/>
      <c r="AQ13" s="55">
        <f t="shared" si="26"/>
        <v>0</v>
      </c>
      <c r="AR13" s="56"/>
      <c r="AS13" s="55">
        <f t="shared" si="13"/>
        <v>0</v>
      </c>
      <c r="AT13" s="55">
        <f t="shared" si="14"/>
        <v>0</v>
      </c>
      <c r="AU13" s="55">
        <f t="shared" si="27"/>
        <v>43316.60556090836</v>
      </c>
      <c r="AV13" s="55">
        <f t="shared" si="15"/>
        <v>3989.564500325288</v>
      </c>
      <c r="AW13" s="55">
        <f t="shared" si="16"/>
        <v>1048.036099083678</v>
      </c>
      <c r="AX13" s="51">
        <f t="shared" si="28"/>
        <v>52706.51373517333</v>
      </c>
      <c r="AY13" s="83">
        <f t="shared" si="17"/>
        <v>0.011194294710498607</v>
      </c>
      <c r="BB13" s="35">
        <v>46682.372977435334</v>
      </c>
      <c r="BC13" s="276">
        <f t="shared" si="29"/>
        <v>6024.140757737994</v>
      </c>
      <c r="BD13" s="397"/>
    </row>
    <row r="14" spans="1:56" ht="15.75">
      <c r="A14" s="183" t="s">
        <v>134</v>
      </c>
      <c r="B14" s="432">
        <v>50298</v>
      </c>
      <c r="C14" s="433">
        <f t="shared" si="18"/>
        <v>0.2992930927785976</v>
      </c>
      <c r="D14" s="434">
        <v>0.31459136553085926</v>
      </c>
      <c r="E14" s="435">
        <v>198</v>
      </c>
      <c r="F14" s="55">
        <f t="shared" si="19"/>
        <v>12649.233485266817</v>
      </c>
      <c r="G14" s="55">
        <f t="shared" si="0"/>
        <v>158555.60715789473</v>
      </c>
      <c r="H14" s="428">
        <v>8778</v>
      </c>
      <c r="I14" s="426"/>
      <c r="J14" s="427">
        <f t="shared" si="20"/>
        <v>509955.5271457535</v>
      </c>
      <c r="K14" s="56"/>
      <c r="L14" s="55">
        <f t="shared" si="2"/>
        <v>0</v>
      </c>
      <c r="M14" s="127">
        <f t="shared" si="3"/>
        <v>0</v>
      </c>
      <c r="N14" s="166"/>
      <c r="O14" s="128">
        <f t="shared" si="4"/>
        <v>0</v>
      </c>
      <c r="P14" s="55">
        <f t="shared" si="5"/>
        <v>0</v>
      </c>
      <c r="Q14" s="56"/>
      <c r="R14" s="55">
        <f t="shared" si="6"/>
        <v>0</v>
      </c>
      <c r="S14" s="127">
        <f t="shared" si="7"/>
        <v>0</v>
      </c>
      <c r="T14" s="421">
        <v>4085</v>
      </c>
      <c r="U14" s="128">
        <f t="shared" si="21"/>
        <v>21128.3265209216</v>
      </c>
      <c r="V14" s="127">
        <f t="shared" si="8"/>
        <v>69546.13163536</v>
      </c>
      <c r="W14" s="419">
        <v>0.294</v>
      </c>
      <c r="X14" s="128">
        <f t="shared" si="22"/>
        <v>0</v>
      </c>
      <c r="Y14" s="55">
        <f t="shared" si="9"/>
        <v>520154.32265999995</v>
      </c>
      <c r="Z14" s="411">
        <v>124</v>
      </c>
      <c r="AA14" s="55">
        <f t="shared" si="23"/>
        <v>35483.68028211439</v>
      </c>
      <c r="AB14" s="55">
        <f t="shared" si="24"/>
        <v>32375.74697627408</v>
      </c>
      <c r="AC14" s="55"/>
      <c r="AD14" s="55">
        <f t="shared" si="10"/>
        <v>0</v>
      </c>
      <c r="AE14" s="127">
        <f t="shared" si="11"/>
        <v>0</v>
      </c>
      <c r="AF14" s="140"/>
      <c r="AG14" s="137"/>
      <c r="AH14" s="141"/>
      <c r="AI14" s="128"/>
      <c r="AJ14" s="128">
        <f t="shared" si="25"/>
        <v>0</v>
      </c>
      <c r="AK14" s="55">
        <f t="shared" si="12"/>
        <v>0</v>
      </c>
      <c r="AL14" s="55"/>
      <c r="AM14" s="55"/>
      <c r="AN14" s="55"/>
      <c r="AO14" s="55">
        <v>612</v>
      </c>
      <c r="AP14" s="55"/>
      <c r="AQ14" s="55">
        <f t="shared" si="26"/>
        <v>12034.149789846519</v>
      </c>
      <c r="AR14" s="56"/>
      <c r="AS14" s="55">
        <f t="shared" si="13"/>
        <v>0</v>
      </c>
      <c r="AT14" s="55">
        <f t="shared" si="14"/>
        <v>0</v>
      </c>
      <c r="AU14" s="55">
        <f t="shared" si="27"/>
        <v>1302621.4853651286</v>
      </c>
      <c r="AV14" s="55">
        <f t="shared" si="15"/>
        <v>30962.36926976722</v>
      </c>
      <c r="AW14" s="55">
        <f t="shared" si="16"/>
        <v>31516.651003159237</v>
      </c>
      <c r="AX14" s="51">
        <f t="shared" si="28"/>
        <v>1434361.745926358</v>
      </c>
      <c r="AY14" s="83">
        <f t="shared" si="17"/>
        <v>0.30464295525297985</v>
      </c>
      <c r="BB14" s="35">
        <v>1406476.8721989552</v>
      </c>
      <c r="BC14" s="276">
        <f t="shared" si="29"/>
        <v>27884.873727402883</v>
      </c>
      <c r="BD14" s="397"/>
    </row>
    <row r="15" spans="1:56" ht="15.75">
      <c r="A15" s="182" t="s">
        <v>135</v>
      </c>
      <c r="B15" s="432">
        <v>18968</v>
      </c>
      <c r="C15" s="433">
        <f t="shared" si="18"/>
        <v>0.11286713952492027</v>
      </c>
      <c r="D15" s="434">
        <v>0.11670093043309818</v>
      </c>
      <c r="E15" s="435">
        <v>52</v>
      </c>
      <c r="F15" s="55">
        <f t="shared" si="19"/>
        <v>4770.182924739373</v>
      </c>
      <c r="G15" s="55">
        <f t="shared" si="0"/>
        <v>41640.86652631578</v>
      </c>
      <c r="H15" s="428">
        <v>1606</v>
      </c>
      <c r="I15" s="426"/>
      <c r="J15" s="427">
        <f t="shared" si="20"/>
        <v>93300.13403919802</v>
      </c>
      <c r="K15" s="56"/>
      <c r="L15" s="55">
        <f t="shared" si="2"/>
        <v>0</v>
      </c>
      <c r="M15" s="127">
        <f t="shared" si="3"/>
        <v>0</v>
      </c>
      <c r="N15" s="166"/>
      <c r="O15" s="128">
        <f t="shared" si="4"/>
        <v>0</v>
      </c>
      <c r="P15" s="55">
        <f t="shared" si="5"/>
        <v>0</v>
      </c>
      <c r="Q15" s="56"/>
      <c r="R15" s="55">
        <f t="shared" si="6"/>
        <v>0</v>
      </c>
      <c r="S15" s="127">
        <f t="shared" si="7"/>
        <v>0</v>
      </c>
      <c r="T15" s="421">
        <v>7000</v>
      </c>
      <c r="U15" s="128">
        <f t="shared" si="21"/>
        <v>7967.7541343361745</v>
      </c>
      <c r="V15" s="127">
        <f t="shared" si="8"/>
        <v>119173.29778397063</v>
      </c>
      <c r="W15" s="419">
        <v>0.095</v>
      </c>
      <c r="X15" s="128">
        <f t="shared" si="22"/>
        <v>0</v>
      </c>
      <c r="Y15" s="55">
        <f t="shared" si="9"/>
        <v>168077.07705</v>
      </c>
      <c r="Z15" s="411">
        <v>16</v>
      </c>
      <c r="AA15" s="55">
        <f t="shared" si="23"/>
        <v>13163.039287888932</v>
      </c>
      <c r="AB15" s="55">
        <f t="shared" si="24"/>
        <v>4177.5157388740745</v>
      </c>
      <c r="AC15" s="55"/>
      <c r="AD15" s="55">
        <f t="shared" si="10"/>
        <v>0</v>
      </c>
      <c r="AE15" s="127">
        <f t="shared" si="11"/>
        <v>0</v>
      </c>
      <c r="AF15" s="140"/>
      <c r="AG15" s="137"/>
      <c r="AH15" s="141"/>
      <c r="AI15" s="402">
        <f>6718+267+2496</f>
        <v>9481</v>
      </c>
      <c r="AJ15" s="128">
        <f t="shared" si="25"/>
        <v>0</v>
      </c>
      <c r="AK15" s="55">
        <f t="shared" si="12"/>
        <v>145884.5257921669</v>
      </c>
      <c r="AL15" s="55"/>
      <c r="AM15" s="55"/>
      <c r="AN15" s="55"/>
      <c r="AO15" s="55">
        <v>306</v>
      </c>
      <c r="AP15" s="55"/>
      <c r="AQ15" s="55">
        <f t="shared" si="26"/>
        <v>6017.074894923259</v>
      </c>
      <c r="AR15" s="56"/>
      <c r="AS15" s="55">
        <f t="shared" si="13"/>
        <v>0</v>
      </c>
      <c r="AT15" s="55">
        <f t="shared" si="14"/>
        <v>0</v>
      </c>
      <c r="AU15" s="55">
        <f t="shared" si="27"/>
        <v>578270.4918254487</v>
      </c>
      <c r="AV15" s="55">
        <f t="shared" si="15"/>
        <v>11676.293695752209</v>
      </c>
      <c r="AW15" s="55">
        <f t="shared" si="16"/>
        <v>13991.132098653625</v>
      </c>
      <c r="AX15" s="51">
        <f t="shared" si="28"/>
        <v>629838.8939668189</v>
      </c>
      <c r="AY15" s="83">
        <f t="shared" si="17"/>
        <v>0.13377098387924458</v>
      </c>
      <c r="BB15" s="35">
        <v>577921.3244847369</v>
      </c>
      <c r="BC15" s="276">
        <f t="shared" si="29"/>
        <v>51917.569482082035</v>
      </c>
      <c r="BD15" s="397"/>
    </row>
    <row r="16" spans="1:56" ht="16.5" thickBot="1">
      <c r="A16" s="183" t="s">
        <v>136</v>
      </c>
      <c r="B16" s="437">
        <v>8496</v>
      </c>
      <c r="C16" s="433">
        <f t="shared" si="18"/>
        <v>0.05055457704574665</v>
      </c>
      <c r="D16" s="434">
        <v>0.05110196022070448</v>
      </c>
      <c r="E16" s="436">
        <v>14</v>
      </c>
      <c r="F16" s="55">
        <f t="shared" si="19"/>
        <v>2136.623477888323</v>
      </c>
      <c r="G16" s="438">
        <f t="shared" si="0"/>
        <v>11211.00252631579</v>
      </c>
      <c r="H16" s="429">
        <v>2006</v>
      </c>
      <c r="I16" s="426"/>
      <c r="J16" s="427">
        <f t="shared" si="20"/>
        <v>116538.02545618382</v>
      </c>
      <c r="K16" s="56"/>
      <c r="L16" s="55">
        <f t="shared" si="2"/>
        <v>0</v>
      </c>
      <c r="M16" s="164">
        <f t="shared" si="3"/>
        <v>0</v>
      </c>
      <c r="N16" s="167"/>
      <c r="O16" s="128">
        <f t="shared" si="4"/>
        <v>0</v>
      </c>
      <c r="P16" s="55">
        <f t="shared" si="5"/>
        <v>0</v>
      </c>
      <c r="Q16" s="56"/>
      <c r="R16" s="55">
        <f t="shared" si="6"/>
        <v>0</v>
      </c>
      <c r="S16" s="127">
        <f t="shared" si="7"/>
        <v>0</v>
      </c>
      <c r="T16" s="422">
        <v>7557</v>
      </c>
      <c r="U16" s="128">
        <f t="shared" si="21"/>
        <v>3568.854867425144</v>
      </c>
      <c r="V16" s="127">
        <f t="shared" si="8"/>
        <v>128656.08733620944</v>
      </c>
      <c r="W16" s="420">
        <v>0.015</v>
      </c>
      <c r="X16" s="128">
        <f t="shared" si="22"/>
        <v>0</v>
      </c>
      <c r="Y16" s="55">
        <f t="shared" si="9"/>
        <v>26538.485849999997</v>
      </c>
      <c r="Z16" s="411">
        <v>24</v>
      </c>
      <c r="AA16" s="55">
        <f t="shared" si="23"/>
        <v>5763.939563951365</v>
      </c>
      <c r="AB16" s="55">
        <f t="shared" si="24"/>
        <v>6266.273608311112</v>
      </c>
      <c r="AC16" s="55"/>
      <c r="AD16" s="55">
        <f t="shared" si="10"/>
        <v>0</v>
      </c>
      <c r="AE16" s="127">
        <f t="shared" si="11"/>
        <v>0</v>
      </c>
      <c r="AF16" s="142"/>
      <c r="AG16" s="143"/>
      <c r="AH16" s="144"/>
      <c r="AI16" s="128"/>
      <c r="AJ16" s="128">
        <f t="shared" si="25"/>
        <v>0</v>
      </c>
      <c r="AK16" s="55">
        <f t="shared" si="12"/>
        <v>0</v>
      </c>
      <c r="AL16" s="55"/>
      <c r="AM16" s="55"/>
      <c r="AN16" s="55"/>
      <c r="AO16" s="55"/>
      <c r="AP16" s="55"/>
      <c r="AQ16" s="55">
        <f t="shared" si="26"/>
        <v>0</v>
      </c>
      <c r="AR16" s="56"/>
      <c r="AS16" s="55">
        <f t="shared" si="13"/>
        <v>0</v>
      </c>
      <c r="AT16" s="55">
        <f t="shared" si="14"/>
        <v>0</v>
      </c>
      <c r="AU16" s="55">
        <f t="shared" si="27"/>
        <v>289209.8747770202</v>
      </c>
      <c r="AV16" s="55">
        <f t="shared" si="15"/>
        <v>5229.9552530109</v>
      </c>
      <c r="AW16" s="55">
        <f t="shared" si="16"/>
        <v>6997.371678895493</v>
      </c>
      <c r="AX16" s="51">
        <f t="shared" si="28"/>
        <v>312906.6196181914</v>
      </c>
      <c r="AY16" s="83">
        <f t="shared" si="17"/>
        <v>0.06645798912961247</v>
      </c>
      <c r="BB16" s="275">
        <v>404947.7194915113</v>
      </c>
      <c r="BC16" s="277">
        <f t="shared" si="29"/>
        <v>-92041.09987331991</v>
      </c>
      <c r="BD16" s="397"/>
    </row>
    <row r="17" spans="1:56" ht="16.5" thickBot="1">
      <c r="A17" s="160" t="s">
        <v>0</v>
      </c>
      <c r="B17" s="439">
        <f>SUM(B8:B16)</f>
        <v>168056</v>
      </c>
      <c r="C17" s="440">
        <f>SUM(C8:C16)</f>
        <v>1</v>
      </c>
      <c r="D17" s="440"/>
      <c r="E17" s="441">
        <f>SUM(E8:E16)</f>
        <v>475</v>
      </c>
      <c r="F17" s="59">
        <f>SUM(F8:F16)</f>
        <v>42263.70000000001</v>
      </c>
      <c r="G17" s="66">
        <f>SUM(G8:G16)</f>
        <v>380373.3</v>
      </c>
      <c r="H17" s="430">
        <f>SUM(H8:H16)</f>
        <v>17756</v>
      </c>
      <c r="I17" s="431">
        <f aca="true" t="shared" si="30" ref="I17:AE17">SUM(I8:I16)</f>
        <v>0</v>
      </c>
      <c r="J17" s="431">
        <f t="shared" si="30"/>
        <v>1031530</v>
      </c>
      <c r="K17" s="67">
        <f t="shared" si="30"/>
        <v>0</v>
      </c>
      <c r="L17" s="66">
        <f t="shared" si="30"/>
        <v>0</v>
      </c>
      <c r="M17" s="75">
        <f t="shared" si="30"/>
        <v>0</v>
      </c>
      <c r="N17" s="168">
        <f t="shared" si="30"/>
        <v>0</v>
      </c>
      <c r="O17" s="72">
        <f t="shared" si="30"/>
        <v>0</v>
      </c>
      <c r="P17" s="66">
        <f t="shared" si="30"/>
        <v>0</v>
      </c>
      <c r="Q17" s="67">
        <f t="shared" si="30"/>
        <v>0</v>
      </c>
      <c r="R17" s="66">
        <f t="shared" si="30"/>
        <v>0</v>
      </c>
      <c r="S17" s="66">
        <f t="shared" si="30"/>
        <v>0</v>
      </c>
      <c r="T17" s="423">
        <f t="shared" si="30"/>
        <v>37319</v>
      </c>
      <c r="U17" s="66">
        <f t="shared" si="30"/>
        <v>70594.10000000002</v>
      </c>
      <c r="V17" s="66">
        <f t="shared" si="30"/>
        <v>635346.9</v>
      </c>
      <c r="W17" s="442">
        <f t="shared" si="30"/>
        <v>1</v>
      </c>
      <c r="X17" s="96">
        <f t="shared" si="30"/>
        <v>0</v>
      </c>
      <c r="Y17" s="97">
        <f t="shared" si="30"/>
        <v>1769232.39</v>
      </c>
      <c r="Z17" s="240">
        <f t="shared" si="30"/>
        <v>288</v>
      </c>
      <c r="AA17" s="96">
        <f t="shared" si="30"/>
        <v>112792.92494960001</v>
      </c>
      <c r="AB17" s="96">
        <f t="shared" si="30"/>
        <v>75195.28329973335</v>
      </c>
      <c r="AC17" s="96">
        <f t="shared" si="30"/>
        <v>0</v>
      </c>
      <c r="AD17" s="96">
        <f t="shared" si="30"/>
        <v>0</v>
      </c>
      <c r="AE17" s="96">
        <f t="shared" si="30"/>
        <v>0</v>
      </c>
      <c r="AF17" s="136"/>
      <c r="AG17" s="136"/>
      <c r="AH17" s="136"/>
      <c r="AI17" s="96">
        <f>SUM(AI8:AI16)</f>
        <v>20324</v>
      </c>
      <c r="AJ17" s="96">
        <f>SUM(AJ8:AJ16)</f>
        <v>0</v>
      </c>
      <c r="AK17" s="97">
        <f>SUM(AK8:AK16)</f>
        <v>312726.2</v>
      </c>
      <c r="AL17" s="96"/>
      <c r="AM17" s="96"/>
      <c r="AN17" s="96"/>
      <c r="AO17" s="446">
        <f>SUM(AO7:AO16)</f>
        <v>3630</v>
      </c>
      <c r="AP17" s="96"/>
      <c r="AQ17" s="66">
        <f>SUM(AQ7:AQ16)</f>
        <v>71380.02571428572</v>
      </c>
      <c r="AR17" s="96">
        <f aca="true" t="shared" si="31" ref="AR17:AY17">SUM(AR8:AR16)</f>
        <v>0</v>
      </c>
      <c r="AS17" s="59">
        <f t="shared" si="31"/>
        <v>0</v>
      </c>
      <c r="AT17" s="59">
        <f t="shared" si="31"/>
        <v>0</v>
      </c>
      <c r="AU17" s="59">
        <f t="shared" si="31"/>
        <v>4275783.099014019</v>
      </c>
      <c r="AV17" s="59">
        <f t="shared" si="31"/>
        <v>103451.66666666666</v>
      </c>
      <c r="AW17" s="59">
        <f t="shared" si="31"/>
        <v>103451.66666666667</v>
      </c>
      <c r="AX17" s="52">
        <f t="shared" si="31"/>
        <v>4708337.157296953</v>
      </c>
      <c r="AY17" s="84">
        <f t="shared" si="31"/>
        <v>0.9999999999999999</v>
      </c>
      <c r="BB17" s="207">
        <f>SUM(BB8:BB16)</f>
        <v>4776133.238327705</v>
      </c>
      <c r="BC17" s="14">
        <f t="shared" si="29"/>
        <v>-67796.08103075251</v>
      </c>
      <c r="BD17" s="397"/>
    </row>
    <row r="18" spans="1:56" ht="16.5" thickBot="1">
      <c r="A18" s="69"/>
      <c r="B18" s="99"/>
      <c r="C18" s="100"/>
      <c r="D18" s="100"/>
      <c r="E18" s="101"/>
      <c r="F18" s="102"/>
      <c r="G18" s="103"/>
      <c r="H18" s="163"/>
      <c r="I18" s="102"/>
      <c r="J18" s="104"/>
      <c r="K18" s="74"/>
      <c r="L18" s="75"/>
      <c r="M18" s="72"/>
      <c r="N18" s="95"/>
      <c r="O18" s="75"/>
      <c r="P18" s="72"/>
      <c r="Q18" s="74"/>
      <c r="R18" s="75"/>
      <c r="S18" s="72"/>
      <c r="T18" s="70"/>
      <c r="U18" s="75"/>
      <c r="V18" s="72"/>
      <c r="W18" s="95"/>
      <c r="X18" s="115"/>
      <c r="Y18" s="116"/>
      <c r="Z18" s="95"/>
      <c r="AA18" s="75"/>
      <c r="AB18" s="72"/>
      <c r="AC18" s="95"/>
      <c r="AD18" s="75"/>
      <c r="AE18" s="72"/>
      <c r="AF18" s="95"/>
      <c r="AG18" s="115"/>
      <c r="AH18" s="116"/>
      <c r="AI18" s="95"/>
      <c r="AJ18" s="75"/>
      <c r="AK18" s="72"/>
      <c r="AL18" s="95"/>
      <c r="AM18" s="75"/>
      <c r="AN18" s="72"/>
      <c r="AO18" s="95"/>
      <c r="AP18" s="75"/>
      <c r="AQ18" s="72"/>
      <c r="AR18" s="70"/>
      <c r="AS18" s="71"/>
      <c r="AT18" s="73"/>
      <c r="AU18" s="76"/>
      <c r="AV18" s="77"/>
      <c r="AW18" s="78"/>
      <c r="AX18" s="79"/>
      <c r="AY18" s="50"/>
      <c r="BC18" s="7"/>
      <c r="BD18" s="10"/>
    </row>
    <row r="19" spans="2:49" ht="12.75" customHeight="1" thickBot="1">
      <c r="B19" s="105"/>
      <c r="C19" s="105"/>
      <c r="D19" s="105"/>
      <c r="E19" s="105"/>
      <c r="F19" s="515">
        <f>F17+G17</f>
        <v>422637</v>
      </c>
      <c r="G19" s="516"/>
      <c r="H19" s="105"/>
      <c r="I19" s="515">
        <f>J17+I17</f>
        <v>1031530</v>
      </c>
      <c r="J19" s="516"/>
      <c r="L19" s="505">
        <f>L17+M17</f>
        <v>0</v>
      </c>
      <c r="M19" s="506"/>
      <c r="N19" s="98"/>
      <c r="O19" s="505">
        <f>O17+P17</f>
        <v>0</v>
      </c>
      <c r="P19" s="506"/>
      <c r="R19" s="505">
        <f>R17+S17</f>
        <v>0</v>
      </c>
      <c r="S19" s="506"/>
      <c r="U19" s="505">
        <f>U17+V17</f>
        <v>705941</v>
      </c>
      <c r="V19" s="573"/>
      <c r="W19" s="408"/>
      <c r="X19" s="407"/>
      <c r="Y19" s="118">
        <f>Y17+X17</f>
        <v>1769232.39</v>
      </c>
      <c r="Z19" s="98"/>
      <c r="AA19" s="505">
        <f>AA17+AB17</f>
        <v>187988.20824933337</v>
      </c>
      <c r="AB19" s="506"/>
      <c r="AC19" s="98"/>
      <c r="AD19" s="505">
        <f>AD17+AE17</f>
        <v>0</v>
      </c>
      <c r="AE19" s="506"/>
      <c r="AF19" s="98"/>
      <c r="AG19" s="117"/>
      <c r="AH19" s="125"/>
      <c r="AI19" s="98"/>
      <c r="AJ19" s="505">
        <f>AJ17+AK17</f>
        <v>312726.2</v>
      </c>
      <c r="AK19" s="506"/>
      <c r="AL19" s="98"/>
      <c r="AM19" s="505">
        <f>AM17+AN17</f>
        <v>0</v>
      </c>
      <c r="AN19" s="506"/>
      <c r="AO19" s="98"/>
      <c r="AP19" s="117"/>
      <c r="AQ19" s="118">
        <f>AQ17</f>
        <v>71380.02571428572</v>
      </c>
      <c r="AS19" s="505">
        <f>AS17+AT17</f>
        <v>0</v>
      </c>
      <c r="AT19" s="506"/>
      <c r="AV19" s="574">
        <f>AV17+AW17</f>
        <v>206903.3333333333</v>
      </c>
      <c r="AW19" s="575"/>
    </row>
    <row r="20" spans="14:43" ht="12.75">
      <c r="N20" s="43"/>
      <c r="O20" s="43"/>
      <c r="P20" s="43"/>
      <c r="W20" s="408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</row>
    <row r="21" spans="1:49" ht="12.75">
      <c r="A21" s="190" t="s">
        <v>193</v>
      </c>
      <c r="B21" s="191"/>
      <c r="C21" s="190"/>
      <c r="D21" s="190"/>
      <c r="E21" s="190"/>
      <c r="V21" s="7">
        <f>T5/T17</f>
        <v>18.91639647364613</v>
      </c>
      <c r="W21" s="408"/>
      <c r="AW21" s="7"/>
    </row>
    <row r="22" spans="1:49" ht="12.75">
      <c r="A22" s="192" t="s">
        <v>194</v>
      </c>
      <c r="B22" s="193"/>
      <c r="C22" s="192"/>
      <c r="D22" s="192"/>
      <c r="E22" s="192"/>
      <c r="F22" s="119"/>
      <c r="G22" s="119"/>
      <c r="H22" s="119"/>
      <c r="I22" s="119"/>
      <c r="K22" s="176"/>
      <c r="W22" s="408"/>
      <c r="X22" s="7"/>
      <c r="AW22" s="7"/>
    </row>
    <row r="23" spans="1:50" ht="12.75">
      <c r="A23" s="88"/>
      <c r="B23" s="169"/>
      <c r="C23" s="88"/>
      <c r="D23" s="88"/>
      <c r="E23" s="88"/>
      <c r="F23" s="88"/>
      <c r="G23" s="88"/>
      <c r="H23" s="148"/>
      <c r="I23" s="88"/>
      <c r="J23" s="88"/>
      <c r="K23" s="88"/>
      <c r="W23" s="408"/>
      <c r="AW23" s="7"/>
      <c r="AX23" s="7"/>
    </row>
    <row r="24" spans="1:23" ht="12.75">
      <c r="A24" s="448" t="s">
        <v>288</v>
      </c>
      <c r="B24" s="449"/>
      <c r="C24" s="448">
        <f>E3/E17</f>
        <v>1310.8147368421053</v>
      </c>
      <c r="D24" s="88"/>
      <c r="E24" s="88"/>
      <c r="F24" s="88"/>
      <c r="G24" s="88"/>
      <c r="H24" s="450" t="s">
        <v>290</v>
      </c>
      <c r="I24" s="448"/>
      <c r="J24" s="451"/>
      <c r="K24" s="452">
        <f>H5/H17</f>
        <v>58.094728542464516</v>
      </c>
      <c r="W24" s="409"/>
    </row>
    <row r="25" spans="1:35" ht="12.75">
      <c r="A25" s="448" t="s">
        <v>289</v>
      </c>
      <c r="B25" s="449"/>
      <c r="C25" s="448">
        <f>E5/E17</f>
        <v>889.7621052631579</v>
      </c>
      <c r="D25" s="88"/>
      <c r="E25" s="88"/>
      <c r="F25" s="88"/>
      <c r="G25" s="88"/>
      <c r="H25" s="450" t="s">
        <v>291</v>
      </c>
      <c r="I25" s="448"/>
      <c r="J25" s="451"/>
      <c r="K25" s="453">
        <f>H3/H17</f>
        <v>81.28942329353458</v>
      </c>
      <c r="T25">
        <f>1494+1300+672</f>
        <v>3466</v>
      </c>
      <c r="U25">
        <f>T25-T11</f>
        <v>-1</v>
      </c>
      <c r="V25" s="10">
        <f>20*U25</f>
        <v>-20</v>
      </c>
      <c r="W25" s="408"/>
      <c r="X25" s="10"/>
      <c r="Y25" s="397"/>
      <c r="AI25" s="403" t="s">
        <v>266</v>
      </c>
    </row>
    <row r="26" spans="1:25" ht="15">
      <c r="A26" s="88"/>
      <c r="B26" s="169"/>
      <c r="C26" s="88"/>
      <c r="D26" s="88"/>
      <c r="E26" s="88"/>
      <c r="F26" s="88"/>
      <c r="G26" s="88"/>
      <c r="H26" s="146"/>
      <c r="I26" s="88"/>
      <c r="J26" s="88"/>
      <c r="K26" s="88"/>
      <c r="V26" s="10"/>
      <c r="W26" s="408"/>
      <c r="X26" s="398"/>
      <c r="Y26" s="10"/>
    </row>
    <row r="27" spans="1:25" ht="15.75">
      <c r="A27" s="418" t="s">
        <v>259</v>
      </c>
      <c r="B27" s="169"/>
      <c r="C27" s="88"/>
      <c r="D27" s="88"/>
      <c r="E27" s="88"/>
      <c r="F27" s="454"/>
      <c r="G27" s="88"/>
      <c r="H27" s="146"/>
      <c r="I27" s="88"/>
      <c r="J27" s="88"/>
      <c r="K27" s="88"/>
      <c r="O27" s="145"/>
      <c r="P27" s="202"/>
      <c r="Q27" s="202"/>
      <c r="R27" s="202"/>
      <c r="S27" s="202"/>
      <c r="T27" s="202"/>
      <c r="U27" s="202"/>
      <c r="V27" s="202"/>
      <c r="W27" s="408"/>
      <c r="X27" s="398"/>
      <c r="Y27" s="10"/>
    </row>
    <row r="28" spans="2:51" ht="13.5" thickBot="1">
      <c r="B28" s="394"/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4"/>
      <c r="AF28" s="394"/>
      <c r="AG28" s="394"/>
      <c r="AH28" s="394"/>
      <c r="AI28" s="394"/>
      <c r="AJ28" s="394"/>
      <c r="AK28" s="394"/>
      <c r="AL28" s="394"/>
      <c r="AM28" s="394"/>
      <c r="AN28" s="394"/>
      <c r="AO28" s="394"/>
      <c r="AP28" s="394"/>
      <c r="AQ28" s="394"/>
      <c r="AR28" s="394"/>
      <c r="AS28" s="394"/>
      <c r="AT28" s="394"/>
      <c r="AU28" s="394"/>
      <c r="AV28" s="394"/>
      <c r="AW28" s="394"/>
      <c r="AX28" s="394"/>
      <c r="AY28" s="394"/>
    </row>
    <row r="29" spans="1:51" ht="13.5" customHeight="1" thickBot="1">
      <c r="A29" s="155"/>
      <c r="B29" s="156"/>
      <c r="C29" s="156"/>
      <c r="D29" s="156"/>
      <c r="E29" s="549" t="s">
        <v>182</v>
      </c>
      <c r="F29" s="550"/>
      <c r="G29" s="551"/>
      <c r="H29" s="549" t="s">
        <v>127</v>
      </c>
      <c r="I29" s="550"/>
      <c r="J29" s="551"/>
      <c r="K29" s="546" t="s">
        <v>101</v>
      </c>
      <c r="L29" s="547"/>
      <c r="M29" s="548"/>
      <c r="N29" s="557" t="s">
        <v>103</v>
      </c>
      <c r="O29" s="524"/>
      <c r="P29" s="525"/>
      <c r="Q29" s="546" t="s">
        <v>144</v>
      </c>
      <c r="R29" s="547"/>
      <c r="S29" s="548"/>
      <c r="T29" s="549" t="s">
        <v>104</v>
      </c>
      <c r="U29" s="550"/>
      <c r="V29" s="551"/>
      <c r="W29" s="549" t="s">
        <v>146</v>
      </c>
      <c r="X29" s="550"/>
      <c r="Y29" s="551"/>
      <c r="Z29" s="549" t="s">
        <v>154</v>
      </c>
      <c r="AA29" s="550"/>
      <c r="AB29" s="551"/>
      <c r="AC29" s="547" t="s">
        <v>102</v>
      </c>
      <c r="AD29" s="547"/>
      <c r="AE29" s="548"/>
      <c r="AF29" s="547" t="s">
        <v>252</v>
      </c>
      <c r="AG29" s="547"/>
      <c r="AH29" s="548"/>
      <c r="AI29" s="549" t="s">
        <v>125</v>
      </c>
      <c r="AJ29" s="550"/>
      <c r="AK29" s="551"/>
      <c r="AL29" s="546" t="s">
        <v>113</v>
      </c>
      <c r="AM29" s="547"/>
      <c r="AN29" s="548"/>
      <c r="AO29" s="546" t="s">
        <v>216</v>
      </c>
      <c r="AP29" s="547"/>
      <c r="AQ29" s="548"/>
      <c r="AR29" s="546" t="s">
        <v>87</v>
      </c>
      <c r="AS29" s="547"/>
      <c r="AT29" s="548"/>
      <c r="AU29" s="549" t="s">
        <v>80</v>
      </c>
      <c r="AV29" s="550"/>
      <c r="AW29" s="551"/>
      <c r="AX29" s="552" t="s">
        <v>0</v>
      </c>
      <c r="AY29" s="553"/>
    </row>
    <row r="30" spans="1:51" ht="13.5" customHeight="1" thickBot="1">
      <c r="A30" s="538" t="s">
        <v>107</v>
      </c>
      <c r="B30" s="539"/>
      <c r="C30" s="540"/>
      <c r="D30" s="197"/>
      <c r="E30" s="526">
        <v>629284.5317957045</v>
      </c>
      <c r="F30" s="527"/>
      <c r="G30" s="528"/>
      <c r="H30" s="526">
        <v>1550000</v>
      </c>
      <c r="I30" s="527"/>
      <c r="J30" s="528"/>
      <c r="K30" s="532">
        <v>47697.2854392</v>
      </c>
      <c r="L30" s="533"/>
      <c r="M30" s="534"/>
      <c r="N30" s="554">
        <v>58800</v>
      </c>
      <c r="O30" s="555"/>
      <c r="P30" s="556"/>
      <c r="Q30" s="532">
        <v>79960</v>
      </c>
      <c r="R30" s="533"/>
      <c r="S30" s="534"/>
      <c r="T30" s="526">
        <v>796428.733492</v>
      </c>
      <c r="U30" s="527"/>
      <c r="V30" s="528"/>
      <c r="W30" s="526">
        <v>1839292.6384373335</v>
      </c>
      <c r="X30" s="527"/>
      <c r="Y30" s="528"/>
      <c r="Z30" s="526">
        <v>297321.2082493333</v>
      </c>
      <c r="AA30" s="527"/>
      <c r="AB30" s="528"/>
      <c r="AC30" s="532">
        <v>68168</v>
      </c>
      <c r="AD30" s="533"/>
      <c r="AE30" s="534"/>
      <c r="AF30" s="532">
        <v>41170</v>
      </c>
      <c r="AG30" s="533"/>
      <c r="AH30" s="534"/>
      <c r="AI30" s="526">
        <v>404486.233492</v>
      </c>
      <c r="AJ30" s="527"/>
      <c r="AK30" s="528"/>
      <c r="AL30" s="532">
        <v>250000</v>
      </c>
      <c r="AM30" s="533"/>
      <c r="AN30" s="534"/>
      <c r="AO30" s="532">
        <v>28158.839528201923</v>
      </c>
      <c r="AP30" s="533"/>
      <c r="AQ30" s="534"/>
      <c r="AR30" s="532">
        <v>1091223.1678959033</v>
      </c>
      <c r="AS30" s="533"/>
      <c r="AT30" s="534"/>
      <c r="AU30" s="526">
        <v>320519.8928613333</v>
      </c>
      <c r="AV30" s="527"/>
      <c r="AW30" s="528"/>
      <c r="AX30" s="513">
        <v>7502510.531191011</v>
      </c>
      <c r="AY30" s="514"/>
    </row>
    <row r="31" spans="1:51" ht="13.5" customHeight="1" thickBot="1">
      <c r="A31" s="538" t="s">
        <v>148</v>
      </c>
      <c r="B31" s="539"/>
      <c r="C31" s="540"/>
      <c r="D31" s="197"/>
      <c r="E31" s="526">
        <v>200000</v>
      </c>
      <c r="F31" s="527"/>
      <c r="G31" s="528"/>
      <c r="H31" s="535">
        <v>416200</v>
      </c>
      <c r="I31" s="536"/>
      <c r="J31" s="537"/>
      <c r="K31" s="541">
        <v>47697.2854392</v>
      </c>
      <c r="L31" s="542"/>
      <c r="M31" s="543"/>
      <c r="N31" s="523">
        <v>58800</v>
      </c>
      <c r="O31" s="544"/>
      <c r="P31" s="545"/>
      <c r="Q31" s="532">
        <v>79960</v>
      </c>
      <c r="R31" s="533"/>
      <c r="S31" s="534"/>
      <c r="T31" s="535">
        <v>100000</v>
      </c>
      <c r="U31" s="536"/>
      <c r="V31" s="537"/>
      <c r="W31" s="526">
        <v>0</v>
      </c>
      <c r="X31" s="527"/>
      <c r="Y31" s="528"/>
      <c r="Z31" s="526">
        <v>105000</v>
      </c>
      <c r="AA31" s="527"/>
      <c r="AB31" s="528"/>
      <c r="AC31" s="532">
        <v>68168</v>
      </c>
      <c r="AD31" s="533"/>
      <c r="AE31" s="534"/>
      <c r="AF31" s="532">
        <v>41170</v>
      </c>
      <c r="AG31" s="533"/>
      <c r="AH31" s="534"/>
      <c r="AI31" s="526">
        <v>140000</v>
      </c>
      <c r="AJ31" s="527"/>
      <c r="AK31" s="528"/>
      <c r="AL31" s="529">
        <v>250000</v>
      </c>
      <c r="AM31" s="530"/>
      <c r="AN31" s="531"/>
      <c r="AO31" s="532">
        <v>0</v>
      </c>
      <c r="AP31" s="533"/>
      <c r="AQ31" s="534"/>
      <c r="AR31" s="532">
        <v>1091223.1678959033</v>
      </c>
      <c r="AS31" s="533"/>
      <c r="AT31" s="534"/>
      <c r="AU31" s="535">
        <v>100000</v>
      </c>
      <c r="AV31" s="536"/>
      <c r="AW31" s="537"/>
      <c r="AX31" s="513">
        <v>2698218.4533351036</v>
      </c>
      <c r="AY31" s="514"/>
    </row>
    <row r="32" spans="1:51" ht="13.5" thickBot="1">
      <c r="A32" s="520" t="s">
        <v>108</v>
      </c>
      <c r="B32" s="521"/>
      <c r="C32" s="522"/>
      <c r="D32" s="198"/>
      <c r="E32" s="510">
        <v>429284.5317957045</v>
      </c>
      <c r="F32" s="511"/>
      <c r="G32" s="512"/>
      <c r="H32" s="510">
        <v>1133800</v>
      </c>
      <c r="I32" s="511"/>
      <c r="J32" s="512"/>
      <c r="K32" s="507">
        <v>0</v>
      </c>
      <c r="L32" s="508"/>
      <c r="M32" s="509"/>
      <c r="N32" s="523">
        <v>0</v>
      </c>
      <c r="O32" s="524"/>
      <c r="P32" s="525"/>
      <c r="Q32" s="507">
        <v>0</v>
      </c>
      <c r="R32" s="508"/>
      <c r="S32" s="509"/>
      <c r="T32" s="510">
        <v>696428.733492</v>
      </c>
      <c r="U32" s="511"/>
      <c r="V32" s="512"/>
      <c r="W32" s="517">
        <v>1839292.6384373335</v>
      </c>
      <c r="X32" s="518"/>
      <c r="Y32" s="519"/>
      <c r="Z32" s="517">
        <v>192321.20824933331</v>
      </c>
      <c r="AA32" s="518"/>
      <c r="AB32" s="519"/>
      <c r="AC32" s="507">
        <v>0</v>
      </c>
      <c r="AD32" s="508"/>
      <c r="AE32" s="509"/>
      <c r="AF32" s="162"/>
      <c r="AG32" s="162"/>
      <c r="AH32" s="162"/>
      <c r="AI32" s="517">
        <v>264486.233492</v>
      </c>
      <c r="AJ32" s="518"/>
      <c r="AK32" s="519"/>
      <c r="AL32" s="507">
        <v>0</v>
      </c>
      <c r="AM32" s="508"/>
      <c r="AN32" s="509"/>
      <c r="AO32" s="507">
        <v>28158.839528201923</v>
      </c>
      <c r="AP32" s="508"/>
      <c r="AQ32" s="509"/>
      <c r="AR32" s="507">
        <v>0</v>
      </c>
      <c r="AS32" s="508"/>
      <c r="AT32" s="509"/>
      <c r="AU32" s="510">
        <v>220519.89286133333</v>
      </c>
      <c r="AV32" s="511"/>
      <c r="AW32" s="512"/>
      <c r="AX32" s="513">
        <v>4804292.077855907</v>
      </c>
      <c r="AY32" s="514"/>
    </row>
    <row r="33" spans="1:51" ht="34.5" thickBot="1">
      <c r="A33" s="157" t="s">
        <v>71</v>
      </c>
      <c r="B33" s="185" t="s">
        <v>72</v>
      </c>
      <c r="C33" s="158" t="s">
        <v>73</v>
      </c>
      <c r="D33" s="158"/>
      <c r="E33" s="2" t="s">
        <v>78</v>
      </c>
      <c r="F33" s="3" t="s">
        <v>76</v>
      </c>
      <c r="G33" s="2" t="s">
        <v>75</v>
      </c>
      <c r="H33" s="58" t="s">
        <v>79</v>
      </c>
      <c r="I33" s="3" t="s">
        <v>76</v>
      </c>
      <c r="J33" s="2" t="s">
        <v>75</v>
      </c>
      <c r="K33" s="2" t="s">
        <v>78</v>
      </c>
      <c r="L33" s="3" t="s">
        <v>76</v>
      </c>
      <c r="M33" s="2" t="s">
        <v>75</v>
      </c>
      <c r="N33" s="165" t="s">
        <v>159</v>
      </c>
      <c r="O33" s="3" t="s">
        <v>76</v>
      </c>
      <c r="P33" s="2" t="s">
        <v>75</v>
      </c>
      <c r="Q33" s="2" t="s">
        <v>78</v>
      </c>
      <c r="R33" s="3" t="s">
        <v>76</v>
      </c>
      <c r="S33" s="2" t="s">
        <v>75</v>
      </c>
      <c r="T33" s="2" t="s">
        <v>184</v>
      </c>
      <c r="U33" s="3" t="s">
        <v>76</v>
      </c>
      <c r="V33" s="2" t="s">
        <v>75</v>
      </c>
      <c r="W33" s="3" t="s">
        <v>147</v>
      </c>
      <c r="X33" s="3" t="s">
        <v>76</v>
      </c>
      <c r="Y33" s="2" t="s">
        <v>75</v>
      </c>
      <c r="Z33" s="2" t="s">
        <v>258</v>
      </c>
      <c r="AA33" s="3" t="s">
        <v>76</v>
      </c>
      <c r="AB33" s="2" t="s">
        <v>75</v>
      </c>
      <c r="AC33" s="2" t="s">
        <v>78</v>
      </c>
      <c r="AD33" s="3" t="s">
        <v>76</v>
      </c>
      <c r="AE33" s="2" t="s">
        <v>75</v>
      </c>
      <c r="AF33" s="2"/>
      <c r="AG33" s="2"/>
      <c r="AH33" s="2"/>
      <c r="AI33" s="3" t="s">
        <v>183</v>
      </c>
      <c r="AJ33" s="3" t="s">
        <v>76</v>
      </c>
      <c r="AK33" s="2" t="s">
        <v>75</v>
      </c>
      <c r="AL33" s="2"/>
      <c r="AM33" s="2"/>
      <c r="AN33" s="2"/>
      <c r="AO33" s="3" t="s">
        <v>183</v>
      </c>
      <c r="AP33" s="3" t="s">
        <v>76</v>
      </c>
      <c r="AQ33" s="2" t="s">
        <v>75</v>
      </c>
      <c r="AR33" s="2" t="s">
        <v>74</v>
      </c>
      <c r="AS33" s="3" t="s">
        <v>77</v>
      </c>
      <c r="AT33" s="2" t="s">
        <v>75</v>
      </c>
      <c r="AU33" s="45" t="s">
        <v>83</v>
      </c>
      <c r="AV33" s="85" t="s">
        <v>81</v>
      </c>
      <c r="AW33" s="45" t="s">
        <v>84</v>
      </c>
      <c r="AX33" s="2" t="s">
        <v>0</v>
      </c>
      <c r="AY33" s="48" t="s">
        <v>10</v>
      </c>
    </row>
    <row r="34" spans="1:51" ht="12.75">
      <c r="A34" s="159"/>
      <c r="B34" s="186"/>
      <c r="C34" s="184"/>
      <c r="D34" s="184"/>
      <c r="E34" s="328"/>
      <c r="F34" s="329">
        <v>0.1</v>
      </c>
      <c r="G34" s="330">
        <v>0.9</v>
      </c>
      <c r="H34" s="65"/>
      <c r="I34" s="329">
        <v>0</v>
      </c>
      <c r="J34" s="329">
        <v>1</v>
      </c>
      <c r="K34" s="61"/>
      <c r="L34" s="329"/>
      <c r="M34" s="331"/>
      <c r="N34" s="332"/>
      <c r="O34" s="333"/>
      <c r="P34" s="329"/>
      <c r="Q34" s="61"/>
      <c r="R34" s="334"/>
      <c r="S34" s="335"/>
      <c r="T34" s="336"/>
      <c r="U34" s="337">
        <v>0.1</v>
      </c>
      <c r="V34" s="395">
        <v>0.9</v>
      </c>
      <c r="W34" s="338"/>
      <c r="X34" s="334">
        <v>0</v>
      </c>
      <c r="Y34" s="334">
        <v>1</v>
      </c>
      <c r="Z34" s="334"/>
      <c r="AA34" s="334">
        <v>0.6</v>
      </c>
      <c r="AB34" s="334">
        <v>0.4</v>
      </c>
      <c r="AC34" s="334"/>
      <c r="AD34" s="334"/>
      <c r="AE34" s="335"/>
      <c r="AF34" s="339"/>
      <c r="AG34" s="338"/>
      <c r="AH34" s="340"/>
      <c r="AI34" s="340"/>
      <c r="AJ34" s="337">
        <v>0</v>
      </c>
      <c r="AK34" s="334">
        <v>1</v>
      </c>
      <c r="AL34" s="334"/>
      <c r="AM34" s="334"/>
      <c r="AN34" s="334"/>
      <c r="AO34" s="334"/>
      <c r="AP34" s="334">
        <v>0</v>
      </c>
      <c r="AQ34" s="334">
        <v>1</v>
      </c>
      <c r="AR34" s="61"/>
      <c r="AS34" s="334"/>
      <c r="AT34" s="334"/>
      <c r="AU34" s="61"/>
      <c r="AV34" s="329">
        <v>0.5</v>
      </c>
      <c r="AW34" s="329">
        <v>0.5</v>
      </c>
      <c r="AX34" s="61"/>
      <c r="AY34" s="65"/>
    </row>
    <row r="35" spans="1:51" ht="15.75">
      <c r="A35" s="181" t="s">
        <v>128</v>
      </c>
      <c r="B35" s="187">
        <v>19459</v>
      </c>
      <c r="C35" s="341">
        <v>0.11708112466230648</v>
      </c>
      <c r="D35" s="342">
        <v>0.12159367130529328</v>
      </c>
      <c r="E35" s="343">
        <v>51</v>
      </c>
      <c r="F35" s="344">
        <v>5026.111578277275</v>
      </c>
      <c r="G35" s="344">
        <v>45089.611005544255</v>
      </c>
      <c r="H35" s="343">
        <v>1095</v>
      </c>
      <c r="I35" s="343">
        <v>0</v>
      </c>
      <c r="J35" s="345">
        <v>62988.88888888888</v>
      </c>
      <c r="K35" s="346"/>
      <c r="L35" s="343">
        <v>0</v>
      </c>
      <c r="M35" s="347">
        <v>0</v>
      </c>
      <c r="N35" s="166">
        <v>36</v>
      </c>
      <c r="O35" s="348">
        <v>0</v>
      </c>
      <c r="P35" s="343">
        <v>0</v>
      </c>
      <c r="Q35" s="346"/>
      <c r="R35" s="343">
        <v>0</v>
      </c>
      <c r="S35" s="347">
        <v>0</v>
      </c>
      <c r="T35" s="343">
        <v>1665</v>
      </c>
      <c r="U35" s="348">
        <v>8153.865936438908</v>
      </c>
      <c r="V35" s="343">
        <v>27194.74806873647</v>
      </c>
      <c r="W35" s="343">
        <v>0.09376826013486837</v>
      </c>
      <c r="X35" s="343">
        <v>0</v>
      </c>
      <c r="Y35" s="343">
        <v>172467.2705851403</v>
      </c>
      <c r="Z35" s="349">
        <v>21</v>
      </c>
      <c r="AA35" s="343">
        <v>14031.025068543775</v>
      </c>
      <c r="AB35" s="343">
        <v>7638.2891219593375</v>
      </c>
      <c r="AC35" s="343"/>
      <c r="AD35" s="343">
        <v>0</v>
      </c>
      <c r="AE35" s="347">
        <v>0</v>
      </c>
      <c r="AF35" s="350"/>
      <c r="AG35" s="351"/>
      <c r="AH35" s="352"/>
      <c r="AI35" s="348"/>
      <c r="AJ35" s="348">
        <v>0</v>
      </c>
      <c r="AK35" s="343">
        <v>0</v>
      </c>
      <c r="AL35" s="343"/>
      <c r="AM35" s="343"/>
      <c r="AN35" s="343"/>
      <c r="AO35" s="343"/>
      <c r="AP35" s="348">
        <v>0</v>
      </c>
      <c r="AQ35" s="343">
        <v>0</v>
      </c>
      <c r="AR35" s="343"/>
      <c r="AS35" s="343">
        <v>0</v>
      </c>
      <c r="AT35" s="343">
        <v>0</v>
      </c>
      <c r="AU35" s="343">
        <v>315378.8076702693</v>
      </c>
      <c r="AV35" s="343">
        <v>12909.35853330812</v>
      </c>
      <c r="AW35" s="343">
        <v>7983.2833249752375</v>
      </c>
      <c r="AX35" s="353">
        <v>363482.4521118126</v>
      </c>
      <c r="AY35" s="354">
        <v>0.07610391795499423</v>
      </c>
    </row>
    <row r="36" spans="1:51" ht="15.75">
      <c r="A36" s="182" t="s">
        <v>129</v>
      </c>
      <c r="B36" s="187">
        <v>20451</v>
      </c>
      <c r="C36" s="341">
        <v>0.12304980114439745</v>
      </c>
      <c r="D36" s="342">
        <v>0.12779239281898108</v>
      </c>
      <c r="E36" s="343">
        <v>54</v>
      </c>
      <c r="F36" s="344">
        <v>5282.337627182721</v>
      </c>
      <c r="G36" s="344">
        <v>47741.941064693914</v>
      </c>
      <c r="H36" s="343">
        <v>3650</v>
      </c>
      <c r="I36" s="343">
        <v>0</v>
      </c>
      <c r="J36" s="345">
        <v>209962.96296296295</v>
      </c>
      <c r="K36" s="346"/>
      <c r="L36" s="343">
        <v>0</v>
      </c>
      <c r="M36" s="347">
        <v>0</v>
      </c>
      <c r="N36" s="166"/>
      <c r="O36" s="348">
        <v>0</v>
      </c>
      <c r="P36" s="343">
        <v>0</v>
      </c>
      <c r="Q36" s="346"/>
      <c r="R36" s="343">
        <v>0</v>
      </c>
      <c r="S36" s="347">
        <v>0</v>
      </c>
      <c r="T36" s="343">
        <v>8145</v>
      </c>
      <c r="U36" s="348">
        <v>8569.541716743517</v>
      </c>
      <c r="V36" s="343">
        <v>133033.76757949463</v>
      </c>
      <c r="W36" s="343">
        <v>0.09443944347057058</v>
      </c>
      <c r="X36" s="343">
        <v>0</v>
      </c>
      <c r="Y36" s="343">
        <v>173701.77315353916</v>
      </c>
      <c r="Z36" s="349">
        <v>7.5</v>
      </c>
      <c r="AA36" s="343">
        <v>14746.312435211921</v>
      </c>
      <c r="AB36" s="343">
        <v>2727.9604006997633</v>
      </c>
      <c r="AC36" s="343"/>
      <c r="AD36" s="343">
        <v>0</v>
      </c>
      <c r="AE36" s="347">
        <v>0</v>
      </c>
      <c r="AF36" s="350"/>
      <c r="AG36" s="351"/>
      <c r="AH36" s="352"/>
      <c r="AI36" s="348">
        <v>1896</v>
      </c>
      <c r="AJ36" s="348">
        <v>0</v>
      </c>
      <c r="AK36" s="343">
        <v>23622.851832524593</v>
      </c>
      <c r="AL36" s="343"/>
      <c r="AM36" s="343"/>
      <c r="AN36" s="343"/>
      <c r="AO36" s="343"/>
      <c r="AP36" s="348">
        <v>0</v>
      </c>
      <c r="AQ36" s="343">
        <v>0</v>
      </c>
      <c r="AR36" s="346"/>
      <c r="AS36" s="343">
        <v>0</v>
      </c>
      <c r="AT36" s="343">
        <v>0</v>
      </c>
      <c r="AU36" s="343">
        <v>590791.2569939151</v>
      </c>
      <c r="AV36" s="343">
        <v>13567.46448248545</v>
      </c>
      <c r="AW36" s="343">
        <v>14954.88560357476</v>
      </c>
      <c r="AX36" s="353">
        <v>647911.7988591135</v>
      </c>
      <c r="AY36" s="354">
        <v>0.1356561399208307</v>
      </c>
    </row>
    <row r="37" spans="1:51" ht="15.75">
      <c r="A37" s="182" t="s">
        <v>130</v>
      </c>
      <c r="B37" s="187">
        <v>24468</v>
      </c>
      <c r="C37" s="341">
        <v>0.14721933081028393</v>
      </c>
      <c r="D37" s="342">
        <v>0.1528934657226947</v>
      </c>
      <c r="E37" s="343">
        <v>56</v>
      </c>
      <c r="F37" s="344">
        <v>6319.898149816968</v>
      </c>
      <c r="G37" s="344">
        <v>49510.16110412702</v>
      </c>
      <c r="H37" s="343">
        <v>1460</v>
      </c>
      <c r="I37" s="343">
        <v>0</v>
      </c>
      <c r="J37" s="345">
        <v>83985.18518518518</v>
      </c>
      <c r="K37" s="346"/>
      <c r="L37" s="343">
        <v>0</v>
      </c>
      <c r="M37" s="347">
        <v>0</v>
      </c>
      <c r="N37" s="166">
        <v>36</v>
      </c>
      <c r="O37" s="348">
        <v>0</v>
      </c>
      <c r="P37" s="343">
        <v>0</v>
      </c>
      <c r="Q37" s="346"/>
      <c r="R37" s="343">
        <v>0</v>
      </c>
      <c r="S37" s="347">
        <v>0</v>
      </c>
      <c r="T37" s="343">
        <v>2142</v>
      </c>
      <c r="U37" s="348">
        <v>10252.777210174581</v>
      </c>
      <c r="V37" s="343">
        <v>34985.67589383394</v>
      </c>
      <c r="W37" s="343">
        <v>0.22378831667219407</v>
      </c>
      <c r="X37" s="343">
        <v>0</v>
      </c>
      <c r="Y37" s="343">
        <v>411612.20342344936</v>
      </c>
      <c r="Z37" s="349">
        <v>33</v>
      </c>
      <c r="AA37" s="343">
        <v>17642.793636730003</v>
      </c>
      <c r="AB37" s="343">
        <v>12003.025763078958</v>
      </c>
      <c r="AC37" s="343"/>
      <c r="AD37" s="343">
        <v>0</v>
      </c>
      <c r="AE37" s="347">
        <v>0</v>
      </c>
      <c r="AF37" s="350"/>
      <c r="AG37" s="351"/>
      <c r="AH37" s="352"/>
      <c r="AI37" s="348">
        <v>6600</v>
      </c>
      <c r="AJ37" s="348">
        <v>0</v>
      </c>
      <c r="AK37" s="343">
        <v>82231.44625245902</v>
      </c>
      <c r="AL37" s="343"/>
      <c r="AM37" s="343"/>
      <c r="AN37" s="343"/>
      <c r="AO37" s="343"/>
      <c r="AP37" s="348">
        <v>0</v>
      </c>
      <c r="AQ37" s="343">
        <v>0</v>
      </c>
      <c r="AR37" s="346"/>
      <c r="AS37" s="343">
        <v>0</v>
      </c>
      <c r="AT37" s="343">
        <v>0</v>
      </c>
      <c r="AU37" s="343">
        <v>674327.6976221334</v>
      </c>
      <c r="AV37" s="343">
        <v>16232.395528700501</v>
      </c>
      <c r="AW37" s="343">
        <v>17069.469898002946</v>
      </c>
      <c r="AX37" s="353">
        <v>741845.0320455584</v>
      </c>
      <c r="AY37" s="354">
        <v>0.15532335364775227</v>
      </c>
    </row>
    <row r="38" spans="1:51" ht="15.75">
      <c r="A38" s="182" t="s">
        <v>131</v>
      </c>
      <c r="B38" s="187">
        <v>10260</v>
      </c>
      <c r="C38" s="341">
        <v>0.06173248055065854</v>
      </c>
      <c r="D38" s="342">
        <v>0.06411177694600488</v>
      </c>
      <c r="E38" s="343">
        <v>11</v>
      </c>
      <c r="F38" s="344">
        <v>2650.079900977689</v>
      </c>
      <c r="G38" s="344">
        <v>9725.210216882093</v>
      </c>
      <c r="H38" s="343">
        <v>730</v>
      </c>
      <c r="I38" s="343">
        <v>0</v>
      </c>
      <c r="J38" s="345">
        <v>41992.59259259259</v>
      </c>
      <c r="K38" s="355"/>
      <c r="L38" s="343">
        <v>0</v>
      </c>
      <c r="M38" s="347">
        <v>0</v>
      </c>
      <c r="N38" s="166"/>
      <c r="O38" s="348">
        <v>0</v>
      </c>
      <c r="P38" s="343">
        <v>0</v>
      </c>
      <c r="Q38" s="355"/>
      <c r="R38" s="343">
        <v>0</v>
      </c>
      <c r="S38" s="347">
        <v>0</v>
      </c>
      <c r="T38" s="343">
        <v>2871</v>
      </c>
      <c r="U38" s="348">
        <v>4299.227324521465</v>
      </c>
      <c r="V38" s="343">
        <v>46892.565588794234</v>
      </c>
      <c r="W38" s="343">
        <v>0.09836389191579413</v>
      </c>
      <c r="X38" s="343">
        <v>0</v>
      </c>
      <c r="Y38" s="343">
        <v>180919.9822887657</v>
      </c>
      <c r="Z38" s="349">
        <v>12</v>
      </c>
      <c r="AA38" s="343">
        <v>7398.032643160446</v>
      </c>
      <c r="AB38" s="343">
        <v>4364.736641119622</v>
      </c>
      <c r="AC38" s="343"/>
      <c r="AD38" s="343">
        <v>0</v>
      </c>
      <c r="AE38" s="347">
        <v>0</v>
      </c>
      <c r="AF38" s="350"/>
      <c r="AG38" s="351"/>
      <c r="AH38" s="352"/>
      <c r="AI38" s="348">
        <v>2352</v>
      </c>
      <c r="AJ38" s="348">
        <v>0</v>
      </c>
      <c r="AK38" s="343">
        <v>29304.297209967215</v>
      </c>
      <c r="AL38" s="343"/>
      <c r="AM38" s="343"/>
      <c r="AN38" s="343"/>
      <c r="AO38" s="343"/>
      <c r="AP38" s="348">
        <v>0</v>
      </c>
      <c r="AQ38" s="343">
        <v>0</v>
      </c>
      <c r="AR38" s="355"/>
      <c r="AS38" s="343">
        <v>0</v>
      </c>
      <c r="AT38" s="343">
        <v>0</v>
      </c>
      <c r="AU38" s="343">
        <v>313199.38453812146</v>
      </c>
      <c r="AV38" s="343">
        <v>6806.619998547782</v>
      </c>
      <c r="AW38" s="343">
        <v>7928.114899178118</v>
      </c>
      <c r="AX38" s="353">
        <v>342281.4593045069</v>
      </c>
      <c r="AY38" s="354">
        <v>0.07166497294458893</v>
      </c>
    </row>
    <row r="39" spans="1:51" ht="15.75">
      <c r="A39" s="182" t="s">
        <v>132</v>
      </c>
      <c r="B39" s="187">
        <v>8196</v>
      </c>
      <c r="C39" s="341">
        <v>0.049313782708888636</v>
      </c>
      <c r="D39" s="342">
        <v>0.05121443702236414</v>
      </c>
      <c r="E39" s="343">
        <v>13</v>
      </c>
      <c r="F39" s="344">
        <v>2116.9644121260367</v>
      </c>
      <c r="G39" s="344">
        <v>11493.4302563152</v>
      </c>
      <c r="H39" s="343">
        <v>0</v>
      </c>
      <c r="I39" s="343">
        <v>0</v>
      </c>
      <c r="J39" s="345">
        <v>0</v>
      </c>
      <c r="K39" s="346"/>
      <c r="L39" s="343">
        <v>0</v>
      </c>
      <c r="M39" s="347">
        <v>0</v>
      </c>
      <c r="N39" s="166"/>
      <c r="O39" s="348">
        <v>0</v>
      </c>
      <c r="P39" s="343">
        <v>0</v>
      </c>
      <c r="Q39" s="346"/>
      <c r="R39" s="343">
        <v>0</v>
      </c>
      <c r="S39" s="347">
        <v>0</v>
      </c>
      <c r="T39" s="343">
        <v>4428</v>
      </c>
      <c r="U39" s="348">
        <v>3434.3535235651</v>
      </c>
      <c r="V39" s="343">
        <v>72323.32999901807</v>
      </c>
      <c r="W39" s="343">
        <v>0.07478561614630218</v>
      </c>
      <c r="X39" s="343">
        <v>0</v>
      </c>
      <c r="Y39" s="343">
        <v>137552.6332388938</v>
      </c>
      <c r="Z39" s="349"/>
      <c r="AA39" s="343">
        <v>5909.773444770276</v>
      </c>
      <c r="AB39" s="343">
        <v>0</v>
      </c>
      <c r="AC39" s="343"/>
      <c r="AD39" s="343">
        <v>0</v>
      </c>
      <c r="AE39" s="347">
        <v>0</v>
      </c>
      <c r="AF39" s="350"/>
      <c r="AG39" s="351"/>
      <c r="AH39" s="352"/>
      <c r="AI39" s="348"/>
      <c r="AJ39" s="348">
        <v>0</v>
      </c>
      <c r="AK39" s="343">
        <v>0</v>
      </c>
      <c r="AL39" s="343"/>
      <c r="AM39" s="343"/>
      <c r="AN39" s="343"/>
      <c r="AO39" s="343">
        <v>1300</v>
      </c>
      <c r="AP39" s="348">
        <v>0</v>
      </c>
      <c r="AQ39" s="343"/>
      <c r="AR39" s="346"/>
      <c r="AS39" s="343">
        <v>0</v>
      </c>
      <c r="AT39" s="343">
        <v>0</v>
      </c>
      <c r="AU39" s="343">
        <v>249528.233022429</v>
      </c>
      <c r="AV39" s="343">
        <v>5437.335039775597</v>
      </c>
      <c r="AW39" s="343">
        <v>6316.386939610728</v>
      </c>
      <c r="AX39" s="353">
        <v>244584.2068540748</v>
      </c>
      <c r="AY39" s="354">
        <v>0.05120966996718719</v>
      </c>
    </row>
    <row r="40" spans="1:51" ht="15.75">
      <c r="A40" s="182" t="s">
        <v>133</v>
      </c>
      <c r="B40" s="187">
        <v>6168</v>
      </c>
      <c r="C40" s="341">
        <v>0.03711169006203332</v>
      </c>
      <c r="D40" s="342">
        <v>0</v>
      </c>
      <c r="E40" s="343">
        <v>2</v>
      </c>
      <c r="F40" s="344">
        <v>1593.1474492427274</v>
      </c>
      <c r="G40" s="344">
        <v>1768.2200394331078</v>
      </c>
      <c r="H40" s="343">
        <v>365</v>
      </c>
      <c r="I40" s="343">
        <v>0</v>
      </c>
      <c r="J40" s="345">
        <v>20996.296296296296</v>
      </c>
      <c r="K40" s="346"/>
      <c r="L40" s="343">
        <v>0</v>
      </c>
      <c r="M40" s="347">
        <v>0</v>
      </c>
      <c r="N40" s="166"/>
      <c r="O40" s="348">
        <v>0</v>
      </c>
      <c r="P40" s="343">
        <v>0</v>
      </c>
      <c r="Q40" s="346"/>
      <c r="R40" s="343">
        <v>0</v>
      </c>
      <c r="S40" s="347">
        <v>0</v>
      </c>
      <c r="T40" s="343">
        <v>900</v>
      </c>
      <c r="U40" s="348">
        <v>2584.564730764951</v>
      </c>
      <c r="V40" s="343">
        <v>14699.863820938632</v>
      </c>
      <c r="W40" s="343">
        <v>0</v>
      </c>
      <c r="X40" s="343">
        <v>0</v>
      </c>
      <c r="Y40" s="343">
        <v>0</v>
      </c>
      <c r="Z40" s="349"/>
      <c r="AA40" s="343">
        <v>0</v>
      </c>
      <c r="AB40" s="343">
        <v>0</v>
      </c>
      <c r="AC40" s="343"/>
      <c r="AD40" s="343">
        <v>0</v>
      </c>
      <c r="AE40" s="347">
        <v>0</v>
      </c>
      <c r="AF40" s="350"/>
      <c r="AG40" s="351"/>
      <c r="AH40" s="352"/>
      <c r="AI40" s="348"/>
      <c r="AJ40" s="348">
        <v>0</v>
      </c>
      <c r="AK40" s="343">
        <v>0</v>
      </c>
      <c r="AL40" s="343"/>
      <c r="AM40" s="343"/>
      <c r="AN40" s="343"/>
      <c r="AO40" s="343"/>
      <c r="AP40" s="348">
        <v>0</v>
      </c>
      <c r="AQ40" s="343">
        <v>0</v>
      </c>
      <c r="AR40" s="346"/>
      <c r="AS40" s="343">
        <v>0</v>
      </c>
      <c r="AT40" s="343">
        <v>0</v>
      </c>
      <c r="AU40" s="343">
        <v>37464.380156668034</v>
      </c>
      <c r="AV40" s="343">
        <v>4091.932958191298</v>
      </c>
      <c r="AW40" s="343">
        <v>948.3476825683242</v>
      </c>
      <c r="AX40" s="353">
        <v>46682.372977435334</v>
      </c>
      <c r="AY40" s="354">
        <v>0.009774093528802078</v>
      </c>
    </row>
    <row r="41" spans="1:51" ht="15.75">
      <c r="A41" s="183" t="s">
        <v>134</v>
      </c>
      <c r="B41" s="187">
        <v>50345</v>
      </c>
      <c r="C41" s="341">
        <v>0.3029163482770862</v>
      </c>
      <c r="D41" s="342">
        <v>0.31459136553085926</v>
      </c>
      <c r="E41" s="343">
        <v>194</v>
      </c>
      <c r="F41" s="344">
        <v>13003.730274339352</v>
      </c>
      <c r="G41" s="344">
        <v>171517.34382501146</v>
      </c>
      <c r="H41" s="343">
        <v>9125</v>
      </c>
      <c r="I41" s="343"/>
      <c r="J41" s="345">
        <v>524907.4074074074</v>
      </c>
      <c r="K41" s="346"/>
      <c r="L41" s="343">
        <v>0</v>
      </c>
      <c r="M41" s="347">
        <v>0</v>
      </c>
      <c r="N41" s="166">
        <v>60</v>
      </c>
      <c r="O41" s="348">
        <v>0</v>
      </c>
      <c r="P41" s="343">
        <v>0</v>
      </c>
      <c r="Q41" s="346"/>
      <c r="R41" s="343">
        <v>0</v>
      </c>
      <c r="S41" s="347">
        <v>0</v>
      </c>
      <c r="T41" s="343">
        <v>4347</v>
      </c>
      <c r="U41" s="348">
        <v>21095.964878463274</v>
      </c>
      <c r="V41" s="343">
        <v>71000.3422551336</v>
      </c>
      <c r="W41" s="343">
        <v>0.2506830277475087</v>
      </c>
      <c r="X41" s="343">
        <v>0</v>
      </c>
      <c r="Y41" s="343">
        <v>461079.4475171746</v>
      </c>
      <c r="Z41" s="349">
        <v>115.5</v>
      </c>
      <c r="AA41" s="343">
        <v>36301.55491422151</v>
      </c>
      <c r="AB41" s="343">
        <v>42010.590170776355</v>
      </c>
      <c r="AC41" s="343"/>
      <c r="AD41" s="343">
        <v>0</v>
      </c>
      <c r="AE41" s="347">
        <v>0</v>
      </c>
      <c r="AF41" s="350"/>
      <c r="AG41" s="351"/>
      <c r="AH41" s="352"/>
      <c r="AI41" s="348"/>
      <c r="AJ41" s="348">
        <v>0</v>
      </c>
      <c r="AK41" s="343">
        <v>0</v>
      </c>
      <c r="AL41" s="343"/>
      <c r="AM41" s="343"/>
      <c r="AN41" s="343"/>
      <c r="AO41" s="343"/>
      <c r="AP41" s="348">
        <v>0</v>
      </c>
      <c r="AQ41" s="343">
        <v>0</v>
      </c>
      <c r="AR41" s="346"/>
      <c r="AS41" s="343">
        <v>0</v>
      </c>
      <c r="AT41" s="343">
        <v>0</v>
      </c>
      <c r="AU41" s="343">
        <v>1270515.1311755036</v>
      </c>
      <c r="AV41" s="343">
        <v>33399.54033400469</v>
      </c>
      <c r="AW41" s="343">
        <v>32160.950622422853</v>
      </c>
      <c r="AX41" s="353">
        <v>1406476.8721989552</v>
      </c>
      <c r="AY41" s="354">
        <v>0.2944802420736933</v>
      </c>
    </row>
    <row r="42" spans="1:51" ht="15.75">
      <c r="A42" s="182" t="s">
        <v>135</v>
      </c>
      <c r="B42" s="187">
        <v>18676</v>
      </c>
      <c r="C42" s="341">
        <v>0.11236996167291412</v>
      </c>
      <c r="D42" s="342">
        <v>0.11670093043309818</v>
      </c>
      <c r="E42" s="343">
        <v>48</v>
      </c>
      <c r="F42" s="344">
        <v>4823.86863846582</v>
      </c>
      <c r="G42" s="344">
        <v>42437.28094639459</v>
      </c>
      <c r="H42" s="343">
        <v>1095</v>
      </c>
      <c r="I42" s="343"/>
      <c r="J42" s="345">
        <v>62988.88888888888</v>
      </c>
      <c r="K42" s="346"/>
      <c r="L42" s="343">
        <v>0</v>
      </c>
      <c r="M42" s="347">
        <v>0</v>
      </c>
      <c r="N42" s="166">
        <v>36</v>
      </c>
      <c r="O42" s="348">
        <v>0</v>
      </c>
      <c r="P42" s="343">
        <v>0</v>
      </c>
      <c r="Q42" s="346"/>
      <c r="R42" s="343">
        <v>0</v>
      </c>
      <c r="S42" s="347">
        <v>0</v>
      </c>
      <c r="T42" s="343">
        <v>5547</v>
      </c>
      <c r="U42" s="348">
        <v>7825.767009041217</v>
      </c>
      <c r="V42" s="343">
        <v>90600.16068305177</v>
      </c>
      <c r="W42" s="343">
        <v>0.10706558645630991</v>
      </c>
      <c r="X42" s="343">
        <v>0</v>
      </c>
      <c r="Y42" s="343">
        <v>196924.9449990667</v>
      </c>
      <c r="Z42" s="349">
        <v>10.5</v>
      </c>
      <c r="AA42" s="343">
        <v>13466.438366828901</v>
      </c>
      <c r="AB42" s="343">
        <v>3819.1445609796688</v>
      </c>
      <c r="AC42" s="343"/>
      <c r="AD42" s="343">
        <v>0</v>
      </c>
      <c r="AE42" s="347">
        <v>0</v>
      </c>
      <c r="AF42" s="350"/>
      <c r="AG42" s="351"/>
      <c r="AH42" s="352"/>
      <c r="AI42" s="348">
        <v>10380</v>
      </c>
      <c r="AJ42" s="348">
        <v>0</v>
      </c>
      <c r="AK42" s="343">
        <v>129327.6381970492</v>
      </c>
      <c r="AL42" s="343"/>
      <c r="AM42" s="343"/>
      <c r="AN42" s="343"/>
      <c r="AO42" s="343"/>
      <c r="AP42" s="348">
        <v>0</v>
      </c>
      <c r="AQ42" s="343">
        <v>0</v>
      </c>
      <c r="AR42" s="346"/>
      <c r="AS42" s="343">
        <v>0</v>
      </c>
      <c r="AT42" s="343">
        <v>0</v>
      </c>
      <c r="AU42" s="343">
        <v>526098.0582754308</v>
      </c>
      <c r="AV42" s="343">
        <v>12389.905954471576</v>
      </c>
      <c r="AW42" s="343">
        <v>13317.286240498493</v>
      </c>
      <c r="AX42" s="353">
        <v>577921.3244847369</v>
      </c>
      <c r="AY42" s="354">
        <v>0.12100192679865182</v>
      </c>
    </row>
    <row r="43" spans="1:51" ht="16.5" thickBot="1">
      <c r="A43" s="183" t="s">
        <v>136</v>
      </c>
      <c r="B43" s="188">
        <v>8178</v>
      </c>
      <c r="C43" s="341">
        <v>0.04920548011143134</v>
      </c>
      <c r="D43" s="342">
        <v>0.05110196022070448</v>
      </c>
      <c r="E43" s="356">
        <v>8</v>
      </c>
      <c r="F43" s="344">
        <v>2112.3151491418653</v>
      </c>
      <c r="G43" s="357">
        <v>7072.880157732431</v>
      </c>
      <c r="H43" s="343">
        <v>2190</v>
      </c>
      <c r="I43" s="343"/>
      <c r="J43" s="345">
        <v>125977.77777777777</v>
      </c>
      <c r="K43" s="346"/>
      <c r="L43" s="343">
        <v>0</v>
      </c>
      <c r="M43" s="358">
        <v>0</v>
      </c>
      <c r="N43" s="167"/>
      <c r="O43" s="348">
        <v>0</v>
      </c>
      <c r="P43" s="343">
        <v>0</v>
      </c>
      <c r="Q43" s="346"/>
      <c r="R43" s="343">
        <v>0</v>
      </c>
      <c r="S43" s="347">
        <v>0</v>
      </c>
      <c r="T43" s="356">
        <v>8330</v>
      </c>
      <c r="U43" s="348">
        <v>3426.8110194869923</v>
      </c>
      <c r="V43" s="343">
        <v>136055.40625379866</v>
      </c>
      <c r="W43" s="356">
        <v>0.057105857456452046</v>
      </c>
      <c r="X43" s="343">
        <v>0</v>
      </c>
      <c r="Y43" s="343">
        <v>105034.38323130396</v>
      </c>
      <c r="Z43" s="349">
        <v>12</v>
      </c>
      <c r="AA43" s="343">
        <v>5896.7944401331515</v>
      </c>
      <c r="AB43" s="343">
        <v>4364.736641119622</v>
      </c>
      <c r="AC43" s="343"/>
      <c r="AD43" s="343">
        <v>0</v>
      </c>
      <c r="AE43" s="347">
        <v>0</v>
      </c>
      <c r="AF43" s="358"/>
      <c r="AG43" s="356"/>
      <c r="AH43" s="359"/>
      <c r="AI43" s="348"/>
      <c r="AJ43" s="348">
        <v>0</v>
      </c>
      <c r="AK43" s="343">
        <v>0</v>
      </c>
      <c r="AL43" s="343"/>
      <c r="AM43" s="343"/>
      <c r="AN43" s="343"/>
      <c r="AO43" s="343"/>
      <c r="AP43" s="348">
        <v>0</v>
      </c>
      <c r="AQ43" s="343">
        <v>0</v>
      </c>
      <c r="AR43" s="346"/>
      <c r="AS43" s="343">
        <v>0</v>
      </c>
      <c r="AT43" s="343">
        <v>0</v>
      </c>
      <c r="AU43" s="343">
        <v>378505.18406173243</v>
      </c>
      <c r="AV43" s="343">
        <v>5425.393601181653</v>
      </c>
      <c r="AW43" s="343">
        <v>9581.22121983521</v>
      </c>
      <c r="AX43" s="353">
        <v>404947.7194915113</v>
      </c>
      <c r="AY43" s="354">
        <v>0.08478568316349942</v>
      </c>
    </row>
    <row r="44" spans="1:51" ht="16.5" thickBot="1">
      <c r="A44" s="160" t="s">
        <v>0</v>
      </c>
      <c r="B44" s="360">
        <v>166201</v>
      </c>
      <c r="C44" s="361">
        <v>1.0000000000000002</v>
      </c>
      <c r="D44" s="361"/>
      <c r="E44" s="362">
        <v>437</v>
      </c>
      <c r="F44" s="363">
        <v>42928.45317957045</v>
      </c>
      <c r="G44" s="364">
        <v>386356.078616134</v>
      </c>
      <c r="H44" s="362">
        <v>19710</v>
      </c>
      <c r="I44" s="362">
        <v>0</v>
      </c>
      <c r="J44" s="365">
        <v>1133800</v>
      </c>
      <c r="K44" s="366">
        <v>0</v>
      </c>
      <c r="L44" s="362">
        <v>0</v>
      </c>
      <c r="M44" s="367">
        <v>0</v>
      </c>
      <c r="N44" s="168">
        <v>168</v>
      </c>
      <c r="O44" s="368">
        <v>0</v>
      </c>
      <c r="P44" s="362">
        <v>0</v>
      </c>
      <c r="Q44" s="366">
        <v>0</v>
      </c>
      <c r="R44" s="362">
        <v>0</v>
      </c>
      <c r="S44" s="367">
        <v>0</v>
      </c>
      <c r="T44" s="369">
        <v>38375</v>
      </c>
      <c r="U44" s="362">
        <v>69642.8733492</v>
      </c>
      <c r="V44" s="362">
        <v>626785.8601428</v>
      </c>
      <c r="W44" s="362">
        <v>1</v>
      </c>
      <c r="X44" s="370">
        <v>0</v>
      </c>
      <c r="Y44" s="371">
        <v>1839292.6384373333</v>
      </c>
      <c r="Z44" s="370">
        <v>211.5</v>
      </c>
      <c r="AA44" s="370">
        <v>115392.72494959997</v>
      </c>
      <c r="AB44" s="370">
        <v>76928.48329973333</v>
      </c>
      <c r="AC44" s="370">
        <v>0</v>
      </c>
      <c r="AD44" s="370">
        <v>0</v>
      </c>
      <c r="AE44" s="370">
        <v>0</v>
      </c>
      <c r="AF44" s="372"/>
      <c r="AG44" s="372"/>
      <c r="AH44" s="372"/>
      <c r="AI44" s="370">
        <v>21228</v>
      </c>
      <c r="AJ44" s="370">
        <v>0</v>
      </c>
      <c r="AK44" s="371">
        <v>264486.233492</v>
      </c>
      <c r="AL44" s="370"/>
      <c r="AM44" s="370"/>
      <c r="AN44" s="370"/>
      <c r="AO44" s="370">
        <v>1300</v>
      </c>
      <c r="AP44" s="370">
        <v>0</v>
      </c>
      <c r="AQ44" s="362">
        <v>28158.839528201923</v>
      </c>
      <c r="AR44" s="370">
        <v>0</v>
      </c>
      <c r="AS44" s="373">
        <v>0</v>
      </c>
      <c r="AT44" s="373">
        <v>0</v>
      </c>
      <c r="AU44" s="373">
        <v>4355808.133516203</v>
      </c>
      <c r="AV44" s="373">
        <v>110259.94643066665</v>
      </c>
      <c r="AW44" s="373">
        <v>110259.94643066666</v>
      </c>
      <c r="AX44" s="374">
        <v>4776133.238327705</v>
      </c>
      <c r="AY44" s="375">
        <v>0.9999999999999999</v>
      </c>
    </row>
    <row r="45" spans="1:51" ht="16.5" thickBot="1">
      <c r="A45" s="69"/>
      <c r="B45" s="376"/>
      <c r="C45" s="377"/>
      <c r="D45" s="377"/>
      <c r="E45" s="378"/>
      <c r="F45" s="379"/>
      <c r="G45" s="380"/>
      <c r="H45" s="378"/>
      <c r="I45" s="379"/>
      <c r="J45" s="381"/>
      <c r="K45" s="382"/>
      <c r="L45" s="367"/>
      <c r="M45" s="368"/>
      <c r="N45" s="383"/>
      <c r="O45" s="367"/>
      <c r="P45" s="368"/>
      <c r="Q45" s="382"/>
      <c r="R45" s="367"/>
      <c r="S45" s="368"/>
      <c r="T45" s="384"/>
      <c r="U45" s="367"/>
      <c r="V45" s="368"/>
      <c r="W45" s="383"/>
      <c r="X45" s="385"/>
      <c r="Y45" s="386"/>
      <c r="Z45" s="383"/>
      <c r="AA45" s="367"/>
      <c r="AB45" s="368"/>
      <c r="AC45" s="383"/>
      <c r="AD45" s="367"/>
      <c r="AE45" s="368"/>
      <c r="AF45" s="383"/>
      <c r="AG45" s="385"/>
      <c r="AH45" s="386"/>
      <c r="AI45" s="383"/>
      <c r="AJ45" s="367"/>
      <c r="AK45" s="368"/>
      <c r="AL45" s="383"/>
      <c r="AM45" s="367"/>
      <c r="AN45" s="368"/>
      <c r="AO45" s="383"/>
      <c r="AP45" s="367"/>
      <c r="AQ45" s="368"/>
      <c r="AR45" s="384"/>
      <c r="AS45" s="387"/>
      <c r="AT45" s="388"/>
      <c r="AU45" s="389"/>
      <c r="AV45" s="390"/>
      <c r="AW45" s="391"/>
      <c r="AX45" s="392"/>
      <c r="AY45" s="393"/>
    </row>
    <row r="46" spans="2:49" ht="13.5" thickBot="1">
      <c r="B46" s="105"/>
      <c r="C46" s="105"/>
      <c r="D46" s="105"/>
      <c r="E46" s="105"/>
      <c r="F46" s="515">
        <v>429284.53179570445</v>
      </c>
      <c r="G46" s="516"/>
      <c r="H46" s="105"/>
      <c r="I46" s="515">
        <v>1133800</v>
      </c>
      <c r="J46" s="516"/>
      <c r="L46" s="505">
        <v>0</v>
      </c>
      <c r="M46" s="506"/>
      <c r="N46" s="98"/>
      <c r="O46" s="505">
        <v>0</v>
      </c>
      <c r="P46" s="506"/>
      <c r="R46" s="505">
        <v>0</v>
      </c>
      <c r="S46" s="506"/>
      <c r="U46" s="505">
        <v>696428.733492</v>
      </c>
      <c r="V46" s="506"/>
      <c r="W46" s="98"/>
      <c r="X46" s="117"/>
      <c r="Y46" s="118">
        <v>1839292.6384373333</v>
      </c>
      <c r="Z46" s="98"/>
      <c r="AA46" s="505">
        <v>192321.20824933331</v>
      </c>
      <c r="AB46" s="506"/>
      <c r="AC46" s="98"/>
      <c r="AD46" s="505">
        <v>0</v>
      </c>
      <c r="AE46" s="506"/>
      <c r="AF46" s="98"/>
      <c r="AG46" s="117"/>
      <c r="AH46" s="125"/>
      <c r="AI46" s="98"/>
      <c r="AJ46" s="505">
        <v>264486.233492</v>
      </c>
      <c r="AK46" s="506"/>
      <c r="AL46" s="98"/>
      <c r="AM46" s="505">
        <v>0</v>
      </c>
      <c r="AN46" s="506"/>
      <c r="AO46" s="396"/>
      <c r="AP46" s="505">
        <v>28158.839528201923</v>
      </c>
      <c r="AQ46" s="506"/>
      <c r="AS46" s="505">
        <v>0</v>
      </c>
      <c r="AT46" s="506"/>
      <c r="AV46" s="503">
        <v>220519.89286133333</v>
      </c>
      <c r="AW46" s="504"/>
    </row>
    <row r="47" spans="14:43" ht="12.75">
      <c r="N47" s="43"/>
      <c r="O47" s="43"/>
      <c r="P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</row>
    <row r="48" spans="1:49" ht="12.75">
      <c r="A48" s="190"/>
      <c r="B48" s="191"/>
      <c r="C48" s="190"/>
      <c r="D48" s="190"/>
      <c r="E48" s="190"/>
      <c r="AW48" s="7"/>
    </row>
    <row r="49" spans="1:49" ht="12.75">
      <c r="A49" s="192"/>
      <c r="B49" s="193"/>
      <c r="C49" s="192"/>
      <c r="D49" s="192"/>
      <c r="E49" s="192"/>
      <c r="F49" s="119"/>
      <c r="G49" s="119"/>
      <c r="H49" s="119"/>
      <c r="I49" s="119"/>
      <c r="J49" s="119"/>
      <c r="K49" s="176"/>
      <c r="X49" s="7"/>
      <c r="AW49" s="7"/>
    </row>
    <row r="52" ht="12.75">
      <c r="A52" s="105" t="s">
        <v>272</v>
      </c>
    </row>
    <row r="53" ht="13.5" thickBot="1"/>
    <row r="54" spans="5:51" ht="13.5" thickBot="1">
      <c r="E54" s="549" t="s">
        <v>182</v>
      </c>
      <c r="F54" s="550"/>
      <c r="G54" s="551"/>
      <c r="H54" s="549" t="s">
        <v>127</v>
      </c>
      <c r="I54" s="550"/>
      <c r="J54" s="551"/>
      <c r="K54" s="546" t="s">
        <v>101</v>
      </c>
      <c r="L54" s="547"/>
      <c r="M54" s="548"/>
      <c r="N54" s="557" t="s">
        <v>103</v>
      </c>
      <c r="O54" s="524"/>
      <c r="P54" s="525"/>
      <c r="Q54" s="546" t="s">
        <v>144</v>
      </c>
      <c r="R54" s="547"/>
      <c r="S54" s="548"/>
      <c r="T54" s="549" t="s">
        <v>104</v>
      </c>
      <c r="U54" s="550"/>
      <c r="V54" s="551"/>
      <c r="W54" s="549" t="s">
        <v>146</v>
      </c>
      <c r="X54" s="550"/>
      <c r="Y54" s="551"/>
      <c r="Z54" s="549" t="s">
        <v>154</v>
      </c>
      <c r="AA54" s="550"/>
      <c r="AB54" s="551"/>
      <c r="AC54" s="547" t="s">
        <v>102</v>
      </c>
      <c r="AD54" s="547"/>
      <c r="AE54" s="548"/>
      <c r="AF54" s="547" t="s">
        <v>252</v>
      </c>
      <c r="AG54" s="547"/>
      <c r="AH54" s="548"/>
      <c r="AI54" s="549" t="s">
        <v>125</v>
      </c>
      <c r="AJ54" s="550"/>
      <c r="AK54" s="551"/>
      <c r="AL54" s="546" t="s">
        <v>113</v>
      </c>
      <c r="AM54" s="547"/>
      <c r="AN54" s="548"/>
      <c r="AO54" s="546" t="s">
        <v>216</v>
      </c>
      <c r="AP54" s="547"/>
      <c r="AQ54" s="548"/>
      <c r="AR54" s="546" t="s">
        <v>87</v>
      </c>
      <c r="AS54" s="547"/>
      <c r="AT54" s="548"/>
      <c r="AU54" s="549" t="s">
        <v>80</v>
      </c>
      <c r="AV54" s="550"/>
      <c r="AW54" s="551"/>
      <c r="AX54" s="552" t="s">
        <v>0</v>
      </c>
      <c r="AY54" s="553"/>
    </row>
    <row r="55" spans="1:50" ht="12.75">
      <c r="A55" s="404" t="s">
        <v>128</v>
      </c>
      <c r="B55" s="189"/>
      <c r="C55" s="189"/>
      <c r="D55" s="189"/>
      <c r="E55" s="189"/>
      <c r="F55" s="206">
        <f>F8+G8-F35-G35</f>
        <v>-4360.854684308077</v>
      </c>
      <c r="G55" s="189"/>
      <c r="H55" s="189"/>
      <c r="I55" s="206">
        <f>I8+J8-I35-J35</f>
        <v>-38995.76600085104</v>
      </c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206">
        <f>U8+V8-U35-V35</f>
        <v>-4683.669417730769</v>
      </c>
      <c r="V55" s="189"/>
      <c r="W55" s="189"/>
      <c r="X55" s="206">
        <f>X8+Y8-X35-Y35</f>
        <v>-1736.3449501403084</v>
      </c>
      <c r="Y55" s="189"/>
      <c r="Z55" s="189"/>
      <c r="AA55" s="206">
        <f>AA8+AB8-AA35-AB35</f>
        <v>-2993.6084087058744</v>
      </c>
      <c r="AB55" s="189"/>
      <c r="AC55" s="189"/>
      <c r="AD55" s="189"/>
      <c r="AE55" s="189"/>
      <c r="AF55" s="189"/>
      <c r="AG55" s="189"/>
      <c r="AH55" s="189"/>
      <c r="AI55" s="189"/>
      <c r="AJ55" s="206">
        <f>AJ8+AK8-AJ35-AK35</f>
        <v>0</v>
      </c>
      <c r="AK55" s="189"/>
      <c r="AL55" s="189"/>
      <c r="AM55" s="189"/>
      <c r="AN55" s="189"/>
      <c r="AO55" s="189"/>
      <c r="AP55" s="206">
        <f>AP8+AQ8-AP35-AQ35</f>
        <v>22652.517251475794</v>
      </c>
      <c r="AQ55" s="189"/>
      <c r="AR55" s="189"/>
      <c r="AS55" s="189"/>
      <c r="AT55" s="189"/>
      <c r="AU55" s="206"/>
      <c r="AV55" s="206">
        <f>AV8+AW8-AV35-AW35</f>
        <v>-1951.5581185007568</v>
      </c>
      <c r="AW55" s="189"/>
      <c r="AX55" s="206">
        <f>SUM(F55:AW55)</f>
        <v>-32069.28432876104</v>
      </c>
    </row>
    <row r="56" spans="1:50" ht="12.75">
      <c r="A56" s="405" t="s">
        <v>129</v>
      </c>
      <c r="B56" s="189"/>
      <c r="C56" s="189"/>
      <c r="D56" s="189"/>
      <c r="E56" s="189"/>
      <c r="F56" s="206">
        <f aca="true" t="shared" si="32" ref="F56:F64">F9+G9-F36-G36</f>
        <v>169.78366682335036</v>
      </c>
      <c r="G56" s="189"/>
      <c r="H56" s="189"/>
      <c r="I56" s="206">
        <f aca="true" t="shared" si="33" ref="I56:I64">I9+J9-I36-J36</f>
        <v>-82735.50745496566</v>
      </c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206">
        <f aca="true" t="shared" si="34" ref="U56:U64">U9+V9-U36-V36</f>
        <v>-10632.348787692725</v>
      </c>
      <c r="V56" s="189"/>
      <c r="W56" s="189"/>
      <c r="X56" s="206">
        <f aca="true" t="shared" si="35" ref="X56:X64">X9+Y9-X36-Y36</f>
        <v>43913.81081646081</v>
      </c>
      <c r="Y56" s="189"/>
      <c r="Z56" s="189"/>
      <c r="AA56" s="206">
        <f aca="true" t="shared" si="36" ref="AA56:AA64">AA9+AB9-AA36-AB36</f>
        <v>3728.2680121198246</v>
      </c>
      <c r="AB56" s="189"/>
      <c r="AC56" s="189"/>
      <c r="AD56" s="189"/>
      <c r="AE56" s="189"/>
      <c r="AF56" s="189"/>
      <c r="AG56" s="189"/>
      <c r="AH56" s="189"/>
      <c r="AI56" s="189"/>
      <c r="AJ56" s="206">
        <f aca="true" t="shared" si="37" ref="AJ56:AJ64">AJ9+AK9-AJ36-AK36</f>
        <v>22215.14018676295</v>
      </c>
      <c r="AK56" s="189"/>
      <c r="AL56" s="189"/>
      <c r="AM56" s="189"/>
      <c r="AN56" s="189"/>
      <c r="AO56" s="189"/>
      <c r="AP56" s="206">
        <f aca="true" t="shared" si="38" ref="AP56:AP64">AP9+AQ9-AP36-AQ36</f>
        <v>0</v>
      </c>
      <c r="AQ56" s="189"/>
      <c r="AR56" s="189"/>
      <c r="AS56" s="189"/>
      <c r="AT56" s="189"/>
      <c r="AU56" s="206"/>
      <c r="AV56" s="206">
        <f aca="true" t="shared" si="39" ref="AV56:AV64">AV9+AW9-AV36-AW36</f>
        <v>-2183.9269196424957</v>
      </c>
      <c r="AW56" s="189"/>
      <c r="AX56" s="206">
        <f aca="true" t="shared" si="40" ref="AX56:AX64">SUM(F56:AW56)</f>
        <v>-25524.780480133944</v>
      </c>
    </row>
    <row r="57" spans="1:50" ht="12.75">
      <c r="A57" s="405" t="s">
        <v>130</v>
      </c>
      <c r="B57" s="189"/>
      <c r="C57" s="189"/>
      <c r="D57" s="189"/>
      <c r="E57" s="189"/>
      <c r="F57" s="206">
        <f t="shared" si="32"/>
        <v>4125.333170217877</v>
      </c>
      <c r="G57" s="189"/>
      <c r="H57" s="189"/>
      <c r="I57" s="206">
        <f t="shared" si="33"/>
        <v>6177.83351271975</v>
      </c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206">
        <f t="shared" si="34"/>
        <v>-7471.224398600163</v>
      </c>
      <c r="V57" s="189"/>
      <c r="W57" s="189"/>
      <c r="X57" s="206">
        <f t="shared" si="35"/>
        <v>-17073.380453449383</v>
      </c>
      <c r="Y57" s="189"/>
      <c r="Z57" s="189"/>
      <c r="AA57" s="206">
        <f t="shared" si="36"/>
        <v>3004.0710918333334</v>
      </c>
      <c r="AB57" s="189"/>
      <c r="AC57" s="189"/>
      <c r="AD57" s="189"/>
      <c r="AE57" s="189"/>
      <c r="AF57" s="189"/>
      <c r="AG57" s="189"/>
      <c r="AH57" s="189"/>
      <c r="AI57" s="189"/>
      <c r="AJ57" s="206">
        <f t="shared" si="37"/>
        <v>5690.100037641358</v>
      </c>
      <c r="AK57" s="189"/>
      <c r="AL57" s="189"/>
      <c r="AM57" s="189"/>
      <c r="AN57" s="189"/>
      <c r="AO57" s="189"/>
      <c r="AP57" s="206">
        <f t="shared" si="38"/>
        <v>0</v>
      </c>
      <c r="AQ57" s="189"/>
      <c r="AR57" s="189"/>
      <c r="AS57" s="189"/>
      <c r="AT57" s="189"/>
      <c r="AU57" s="206"/>
      <c r="AV57" s="206">
        <f t="shared" si="39"/>
        <v>-1689.852488916571</v>
      </c>
      <c r="AW57" s="189"/>
      <c r="AX57" s="206">
        <f t="shared" si="40"/>
        <v>-7237.1195285538</v>
      </c>
    </row>
    <row r="58" spans="1:50" ht="12.75">
      <c r="A58" s="405" t="s">
        <v>131</v>
      </c>
      <c r="B58" s="189"/>
      <c r="C58" s="189"/>
      <c r="D58" s="189"/>
      <c r="E58" s="189"/>
      <c r="F58" s="206">
        <f t="shared" si="32"/>
        <v>2285.398384713295</v>
      </c>
      <c r="G58" s="189"/>
      <c r="H58" s="189"/>
      <c r="I58" s="206">
        <f t="shared" si="33"/>
        <v>7155.547754332394</v>
      </c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206">
        <f t="shared" si="34"/>
        <v>12257.56211058089</v>
      </c>
      <c r="V58" s="189"/>
      <c r="W58" s="189"/>
      <c r="X58" s="206">
        <f t="shared" si="35"/>
        <v>-3112.127093765681</v>
      </c>
      <c r="Y58" s="189"/>
      <c r="Z58" s="189"/>
      <c r="AA58" s="206">
        <f t="shared" si="36"/>
        <v>-2964.846036746065</v>
      </c>
      <c r="AB58" s="189"/>
      <c r="AC58" s="189"/>
      <c r="AD58" s="189"/>
      <c r="AE58" s="189"/>
      <c r="AF58" s="189"/>
      <c r="AG58" s="189"/>
      <c r="AH58" s="189"/>
      <c r="AI58" s="189"/>
      <c r="AJ58" s="206">
        <f t="shared" si="37"/>
        <v>3777.838688477972</v>
      </c>
      <c r="AK58" s="189"/>
      <c r="AL58" s="189"/>
      <c r="AM58" s="189"/>
      <c r="AN58" s="189"/>
      <c r="AO58" s="189"/>
      <c r="AP58" s="206">
        <f t="shared" si="38"/>
        <v>0</v>
      </c>
      <c r="AQ58" s="189"/>
      <c r="AR58" s="189"/>
      <c r="AS58" s="189"/>
      <c r="AT58" s="189"/>
      <c r="AU58" s="206"/>
      <c r="AV58" s="206">
        <f t="shared" si="39"/>
        <v>-202.65986056291513</v>
      </c>
      <c r="AW58" s="189"/>
      <c r="AX58" s="206">
        <f t="shared" si="40"/>
        <v>19196.71394702989</v>
      </c>
    </row>
    <row r="59" spans="1:50" ht="12.75">
      <c r="A59" s="405" t="s">
        <v>132</v>
      </c>
      <c r="B59" s="189"/>
      <c r="C59" s="189"/>
      <c r="D59" s="189"/>
      <c r="E59" s="189"/>
      <c r="F59" s="206">
        <f t="shared" si="32"/>
        <v>465.8408018092814</v>
      </c>
      <c r="G59" s="189"/>
      <c r="H59" s="189"/>
      <c r="I59" s="206">
        <f t="shared" si="33"/>
        <v>0</v>
      </c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206">
        <f t="shared" si="34"/>
        <v>-1486.398325970862</v>
      </c>
      <c r="V59" s="189"/>
      <c r="W59" s="189"/>
      <c r="X59" s="206">
        <f t="shared" si="35"/>
        <v>-43783.3165688938</v>
      </c>
      <c r="Y59" s="189"/>
      <c r="Z59" s="189"/>
      <c r="AA59" s="206">
        <f t="shared" si="36"/>
        <v>-133.14729337074186</v>
      </c>
      <c r="AB59" s="189"/>
      <c r="AC59" s="189"/>
      <c r="AD59" s="189"/>
      <c r="AE59" s="189"/>
      <c r="AF59" s="189"/>
      <c r="AG59" s="189"/>
      <c r="AH59" s="189"/>
      <c r="AI59" s="189"/>
      <c r="AJ59" s="206">
        <f t="shared" si="37"/>
        <v>0</v>
      </c>
      <c r="AK59" s="189"/>
      <c r="AL59" s="189"/>
      <c r="AM59" s="189"/>
      <c r="AN59" s="189"/>
      <c r="AO59" s="189"/>
      <c r="AP59" s="206">
        <f t="shared" si="38"/>
        <v>30675.283778040142</v>
      </c>
      <c r="AQ59" s="189"/>
      <c r="AR59" s="189"/>
      <c r="AS59" s="189"/>
      <c r="AT59" s="189"/>
      <c r="AU59" s="206"/>
      <c r="AV59" s="206">
        <f t="shared" si="39"/>
        <v>-1685.35712585083</v>
      </c>
      <c r="AW59" s="189"/>
      <c r="AX59" s="206">
        <f t="shared" si="40"/>
        <v>-15947.094734236813</v>
      </c>
    </row>
    <row r="60" spans="1:50" ht="12.75">
      <c r="A60" s="405" t="s">
        <v>133</v>
      </c>
      <c r="B60" s="189"/>
      <c r="C60" s="189"/>
      <c r="D60" s="189"/>
      <c r="E60" s="189"/>
      <c r="F60" s="206">
        <f t="shared" si="32"/>
        <v>670.8697577044443</v>
      </c>
      <c r="G60" s="189"/>
      <c r="H60" s="189"/>
      <c r="I60" s="206">
        <f t="shared" si="33"/>
        <v>208.2796217032519</v>
      </c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206">
        <f t="shared" si="34"/>
        <v>1492.3451481661396</v>
      </c>
      <c r="V60" s="189"/>
      <c r="W60" s="189"/>
      <c r="X60" s="206">
        <f t="shared" si="35"/>
        <v>0</v>
      </c>
      <c r="Y60" s="189"/>
      <c r="Z60" s="189"/>
      <c r="AA60" s="206">
        <f t="shared" si="36"/>
        <v>3655.3262715148157</v>
      </c>
      <c r="AB60" s="189"/>
      <c r="AC60" s="189"/>
      <c r="AD60" s="189"/>
      <c r="AE60" s="189"/>
      <c r="AF60" s="189"/>
      <c r="AG60" s="189"/>
      <c r="AH60" s="189"/>
      <c r="AI60" s="189"/>
      <c r="AJ60" s="206">
        <f t="shared" si="37"/>
        <v>0</v>
      </c>
      <c r="AK60" s="189"/>
      <c r="AL60" s="189"/>
      <c r="AM60" s="189"/>
      <c r="AN60" s="189"/>
      <c r="AO60" s="189"/>
      <c r="AP60" s="206">
        <f t="shared" si="38"/>
        <v>0</v>
      </c>
      <c r="AQ60" s="189"/>
      <c r="AR60" s="189"/>
      <c r="AS60" s="189"/>
      <c r="AT60" s="189"/>
      <c r="AU60" s="206"/>
      <c r="AV60" s="206">
        <f t="shared" si="39"/>
        <v>-2.680041350655756</v>
      </c>
      <c r="AW60" s="189"/>
      <c r="AX60" s="206">
        <f t="shared" si="40"/>
        <v>6024.140757737996</v>
      </c>
    </row>
    <row r="61" spans="1:50" ht="12.75">
      <c r="A61" s="405" t="s">
        <v>134</v>
      </c>
      <c r="B61" s="189"/>
      <c r="C61" s="189"/>
      <c r="D61" s="189"/>
      <c r="E61" s="189"/>
      <c r="F61" s="206">
        <f t="shared" si="32"/>
        <v>-13316.23345618925</v>
      </c>
      <c r="G61" s="189"/>
      <c r="H61" s="189"/>
      <c r="I61" s="206">
        <f t="shared" si="33"/>
        <v>-14951.880261653918</v>
      </c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206">
        <f t="shared" si="34"/>
        <v>-1421.8489773152687</v>
      </c>
      <c r="V61" s="189"/>
      <c r="W61" s="189"/>
      <c r="X61" s="206">
        <f t="shared" si="35"/>
        <v>59074.87514282536</v>
      </c>
      <c r="Y61" s="189"/>
      <c r="Z61" s="189"/>
      <c r="AA61" s="206">
        <f t="shared" si="36"/>
        <v>-10452.717826609405</v>
      </c>
      <c r="AB61" s="189"/>
      <c r="AC61" s="189"/>
      <c r="AD61" s="189"/>
      <c r="AE61" s="189"/>
      <c r="AF61" s="189"/>
      <c r="AG61" s="189"/>
      <c r="AH61" s="189"/>
      <c r="AI61" s="189"/>
      <c r="AJ61" s="206">
        <f t="shared" si="37"/>
        <v>0</v>
      </c>
      <c r="AK61" s="189"/>
      <c r="AL61" s="189"/>
      <c r="AM61" s="189"/>
      <c r="AN61" s="189"/>
      <c r="AO61" s="189"/>
      <c r="AP61" s="206">
        <f t="shared" si="38"/>
        <v>12034.149789846519</v>
      </c>
      <c r="AQ61" s="189"/>
      <c r="AR61" s="189"/>
      <c r="AS61" s="189"/>
      <c r="AT61" s="189"/>
      <c r="AU61" s="206"/>
      <c r="AV61" s="206">
        <f t="shared" si="39"/>
        <v>-3081.4706835010875</v>
      </c>
      <c r="AW61" s="189"/>
      <c r="AX61" s="206">
        <f t="shared" si="40"/>
        <v>27884.873727402948</v>
      </c>
    </row>
    <row r="62" spans="1:50" ht="12.75">
      <c r="A62" s="405" t="s">
        <v>135</v>
      </c>
      <c r="B62" s="189"/>
      <c r="C62" s="189"/>
      <c r="D62" s="189"/>
      <c r="E62" s="189"/>
      <c r="F62" s="206">
        <f t="shared" si="32"/>
        <v>-850.100133805252</v>
      </c>
      <c r="G62" s="189"/>
      <c r="H62" s="189"/>
      <c r="I62" s="206">
        <f t="shared" si="33"/>
        <v>30311.245150309136</v>
      </c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206">
        <f t="shared" si="34"/>
        <v>28715.124226213826</v>
      </c>
      <c r="V62" s="189"/>
      <c r="W62" s="189"/>
      <c r="X62" s="206">
        <f t="shared" si="35"/>
        <v>-28847.867949066713</v>
      </c>
      <c r="Y62" s="189"/>
      <c r="Z62" s="189"/>
      <c r="AA62" s="206">
        <f t="shared" si="36"/>
        <v>54.972098954436206</v>
      </c>
      <c r="AB62" s="189"/>
      <c r="AC62" s="189"/>
      <c r="AD62" s="189"/>
      <c r="AE62" s="189"/>
      <c r="AF62" s="189"/>
      <c r="AG62" s="189"/>
      <c r="AH62" s="189"/>
      <c r="AI62" s="189"/>
      <c r="AJ62" s="206">
        <f t="shared" si="37"/>
        <v>16556.887595117718</v>
      </c>
      <c r="AK62" s="189"/>
      <c r="AL62" s="189"/>
      <c r="AM62" s="189"/>
      <c r="AN62" s="189"/>
      <c r="AO62" s="189"/>
      <c r="AP62" s="206">
        <f t="shared" si="38"/>
        <v>6017.074894923259</v>
      </c>
      <c r="AQ62" s="189"/>
      <c r="AR62" s="189"/>
      <c r="AS62" s="189"/>
      <c r="AT62" s="189"/>
      <c r="AU62" s="206"/>
      <c r="AV62" s="206">
        <f t="shared" si="39"/>
        <v>-39.76640056423639</v>
      </c>
      <c r="AW62" s="189"/>
      <c r="AX62" s="206">
        <f t="shared" si="40"/>
        <v>51917.56948208217</v>
      </c>
    </row>
    <row r="63" spans="1:50" ht="12.75">
      <c r="A63" s="405" t="s">
        <v>136</v>
      </c>
      <c r="B63" s="189"/>
      <c r="C63" s="189"/>
      <c r="D63" s="189"/>
      <c r="E63" s="189"/>
      <c r="F63" s="206">
        <f t="shared" si="32"/>
        <v>4162.430697329816</v>
      </c>
      <c r="G63" s="189"/>
      <c r="H63" s="189"/>
      <c r="I63" s="206">
        <f t="shared" si="33"/>
        <v>-9439.752321593944</v>
      </c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206">
        <f t="shared" si="34"/>
        <v>-7257.275069651063</v>
      </c>
      <c r="V63" s="189"/>
      <c r="W63" s="189"/>
      <c r="X63" s="206">
        <f t="shared" si="35"/>
        <v>-78495.89738130396</v>
      </c>
      <c r="Y63" s="189"/>
      <c r="Z63" s="189"/>
      <c r="AA63" s="206">
        <f t="shared" si="36"/>
        <v>1768.682091009703</v>
      </c>
      <c r="AB63" s="189"/>
      <c r="AC63" s="189"/>
      <c r="AD63" s="189"/>
      <c r="AE63" s="189"/>
      <c r="AF63" s="189"/>
      <c r="AG63" s="189"/>
      <c r="AH63" s="189"/>
      <c r="AI63" s="189"/>
      <c r="AJ63" s="206">
        <f t="shared" si="37"/>
        <v>0</v>
      </c>
      <c r="AK63" s="189"/>
      <c r="AL63" s="189"/>
      <c r="AM63" s="189"/>
      <c r="AN63" s="189"/>
      <c r="AO63" s="189"/>
      <c r="AP63" s="206">
        <f t="shared" si="38"/>
        <v>0</v>
      </c>
      <c r="AQ63" s="189"/>
      <c r="AR63" s="189"/>
      <c r="AS63" s="189"/>
      <c r="AT63" s="189"/>
      <c r="AU63" s="206"/>
      <c r="AV63" s="206">
        <f t="shared" si="39"/>
        <v>-2779.28788911047</v>
      </c>
      <c r="AW63" s="189"/>
      <c r="AX63" s="206">
        <f t="shared" si="40"/>
        <v>-92041.09987331991</v>
      </c>
    </row>
    <row r="64" spans="1:50" ht="12.75">
      <c r="A64" s="175" t="s">
        <v>0</v>
      </c>
      <c r="B64" s="189"/>
      <c r="C64" s="189"/>
      <c r="D64" s="189"/>
      <c r="E64" s="189"/>
      <c r="F64" s="206">
        <f t="shared" si="32"/>
        <v>-6647.531795704446</v>
      </c>
      <c r="G64" s="189"/>
      <c r="H64" s="189"/>
      <c r="I64" s="206">
        <f t="shared" si="33"/>
        <v>-102270</v>
      </c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206">
        <f t="shared" si="34"/>
        <v>9512.266507999972</v>
      </c>
      <c r="V64" s="189"/>
      <c r="W64" s="189"/>
      <c r="X64" s="206">
        <f t="shared" si="35"/>
        <v>-70060.24843733339</v>
      </c>
      <c r="Y64" s="189"/>
      <c r="Z64" s="189"/>
      <c r="AA64" s="206">
        <f t="shared" si="36"/>
        <v>-4332.999999999927</v>
      </c>
      <c r="AB64" s="189"/>
      <c r="AC64" s="189"/>
      <c r="AD64" s="189"/>
      <c r="AE64" s="189"/>
      <c r="AF64" s="189"/>
      <c r="AG64" s="189"/>
      <c r="AH64" s="189"/>
      <c r="AI64" s="189"/>
      <c r="AJ64" s="206">
        <f t="shared" si="37"/>
        <v>48239.96650799998</v>
      </c>
      <c r="AK64" s="189"/>
      <c r="AL64" s="189"/>
      <c r="AM64" s="189"/>
      <c r="AN64" s="189"/>
      <c r="AO64" s="189"/>
      <c r="AP64" s="206">
        <f t="shared" si="38"/>
        <v>43221.186186083796</v>
      </c>
      <c r="AQ64" s="189"/>
      <c r="AR64" s="189"/>
      <c r="AS64" s="189"/>
      <c r="AT64" s="189"/>
      <c r="AU64" s="206"/>
      <c r="AV64" s="206">
        <f t="shared" si="39"/>
        <v>-13616.559527999998</v>
      </c>
      <c r="AW64" s="189"/>
      <c r="AX64" s="206">
        <f t="shared" si="40"/>
        <v>-95953.92055895402</v>
      </c>
    </row>
    <row r="65" spans="1:22" ht="12.75">
      <c r="A65" s="10"/>
      <c r="B65" s="10"/>
      <c r="C65" s="10"/>
      <c r="D65" s="10"/>
      <c r="E65" s="10"/>
      <c r="F65" s="397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397"/>
      <c r="V65" s="10"/>
    </row>
    <row r="66" spans="1:22" ht="12.75">
      <c r="A66" s="10"/>
      <c r="B66" s="10"/>
      <c r="C66" s="10"/>
      <c r="D66" s="10"/>
      <c r="E66" s="10"/>
      <c r="F66" s="397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397"/>
      <c r="V66" s="10"/>
    </row>
    <row r="67" spans="1:22" ht="12.75">
      <c r="A67" s="10"/>
      <c r="B67" s="10"/>
      <c r="C67" s="10"/>
      <c r="D67" s="10"/>
      <c r="E67" s="10"/>
      <c r="F67" s="397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ht="12.75">
      <c r="F68" s="7"/>
    </row>
    <row r="69" ht="12.75">
      <c r="F69" s="7"/>
    </row>
  </sheetData>
  <sheetProtection/>
  <mergeCells count="175">
    <mergeCell ref="AO54:AQ54"/>
    <mergeCell ref="AR54:AT54"/>
    <mergeCell ref="AU54:AW54"/>
    <mergeCell ref="AX54:AY54"/>
    <mergeCell ref="W54:Y54"/>
    <mergeCell ref="Z54:AB54"/>
    <mergeCell ref="AC54:AE54"/>
    <mergeCell ref="AF54:AH54"/>
    <mergeCell ref="AI54:AK54"/>
    <mergeCell ref="AL54:AN54"/>
    <mergeCell ref="E54:G54"/>
    <mergeCell ref="H54:J54"/>
    <mergeCell ref="K54:M54"/>
    <mergeCell ref="N54:P54"/>
    <mergeCell ref="Q54:S54"/>
    <mergeCell ref="T54:V54"/>
    <mergeCell ref="AU2:AW2"/>
    <mergeCell ref="AC2:AE2"/>
    <mergeCell ref="AF2:AH2"/>
    <mergeCell ref="BB2:BB7"/>
    <mergeCell ref="BC2:BC7"/>
    <mergeCell ref="AF3:AH3"/>
    <mergeCell ref="AX5:AY5"/>
    <mergeCell ref="AX3:AY3"/>
    <mergeCell ref="AX4:AY4"/>
    <mergeCell ref="AX2:AY2"/>
    <mergeCell ref="E2:G2"/>
    <mergeCell ref="E3:G3"/>
    <mergeCell ref="H4:J4"/>
    <mergeCell ref="H3:J3"/>
    <mergeCell ref="K2:M2"/>
    <mergeCell ref="N2:P2"/>
    <mergeCell ref="E4:G4"/>
    <mergeCell ref="AL2:AN2"/>
    <mergeCell ref="T5:V5"/>
    <mergeCell ref="H2:J2"/>
    <mergeCell ref="K5:M5"/>
    <mergeCell ref="Q2:S2"/>
    <mergeCell ref="T2:V2"/>
    <mergeCell ref="K4:M4"/>
    <mergeCell ref="AD19:AE19"/>
    <mergeCell ref="AI4:AK4"/>
    <mergeCell ref="Z4:AB4"/>
    <mergeCell ref="AL4:AN4"/>
    <mergeCell ref="AC4:AE4"/>
    <mergeCell ref="Q3:S3"/>
    <mergeCell ref="R19:S19"/>
    <mergeCell ref="AC3:AE3"/>
    <mergeCell ref="Z3:AB3"/>
    <mergeCell ref="AS19:AT19"/>
    <mergeCell ref="AJ19:AK19"/>
    <mergeCell ref="AM19:AN19"/>
    <mergeCell ref="W5:Y5"/>
    <mergeCell ref="I19:J19"/>
    <mergeCell ref="AF4:AH4"/>
    <mergeCell ref="AA19:AB19"/>
    <mergeCell ref="Z5:AB5"/>
    <mergeCell ref="AC5:AE5"/>
    <mergeCell ref="AI5:AK5"/>
    <mergeCell ref="A4:C4"/>
    <mergeCell ref="N4:P4"/>
    <mergeCell ref="A3:C3"/>
    <mergeCell ref="T3:V3"/>
    <mergeCell ref="AV19:AW19"/>
    <mergeCell ref="A5:C5"/>
    <mergeCell ref="E5:G5"/>
    <mergeCell ref="N5:P5"/>
    <mergeCell ref="H5:J5"/>
    <mergeCell ref="W3:Y3"/>
    <mergeCell ref="O19:P19"/>
    <mergeCell ref="F19:G19"/>
    <mergeCell ref="Q5:S5"/>
    <mergeCell ref="Q4:S4"/>
    <mergeCell ref="W4:Y4"/>
    <mergeCell ref="L19:M19"/>
    <mergeCell ref="U19:V19"/>
    <mergeCell ref="AR2:AT2"/>
    <mergeCell ref="AI2:AK2"/>
    <mergeCell ref="W2:Y2"/>
    <mergeCell ref="Z2:AB2"/>
    <mergeCell ref="AL3:AN3"/>
    <mergeCell ref="K3:M3"/>
    <mergeCell ref="N3:P3"/>
    <mergeCell ref="AO2:AQ2"/>
    <mergeCell ref="AO3:AQ3"/>
    <mergeCell ref="AI3:AK3"/>
    <mergeCell ref="AU4:AW4"/>
    <mergeCell ref="AU5:AW5"/>
    <mergeCell ref="AR5:AT5"/>
    <mergeCell ref="AU3:AW3"/>
    <mergeCell ref="AR3:AT3"/>
    <mergeCell ref="T4:V4"/>
    <mergeCell ref="AL5:AN5"/>
    <mergeCell ref="AR4:AT4"/>
    <mergeCell ref="AO4:AQ4"/>
    <mergeCell ref="AO5:AQ5"/>
    <mergeCell ref="E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AR29:AT29"/>
    <mergeCell ref="AU29:AW29"/>
    <mergeCell ref="AX29:AY29"/>
    <mergeCell ref="A30:C30"/>
    <mergeCell ref="E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AI30:AK30"/>
    <mergeCell ref="AL30:AN30"/>
    <mergeCell ref="AO30:AQ30"/>
    <mergeCell ref="AR30:AT30"/>
    <mergeCell ref="AU30:AW30"/>
    <mergeCell ref="AX30:AY30"/>
    <mergeCell ref="A31:C31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Q31"/>
    <mergeCell ref="AR31:AT31"/>
    <mergeCell ref="AU31:AW31"/>
    <mergeCell ref="AX31:AY31"/>
    <mergeCell ref="A32:C32"/>
    <mergeCell ref="E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I32:AK32"/>
    <mergeCell ref="AL32:AN32"/>
    <mergeCell ref="AO32:AQ32"/>
    <mergeCell ref="AR32:AT32"/>
    <mergeCell ref="AU32:AW32"/>
    <mergeCell ref="AX32:AY32"/>
    <mergeCell ref="F46:G46"/>
    <mergeCell ref="I46:J46"/>
    <mergeCell ref="L46:M46"/>
    <mergeCell ref="O46:P46"/>
    <mergeCell ref="R46:S46"/>
    <mergeCell ref="U46:V46"/>
    <mergeCell ref="AV46:AW46"/>
    <mergeCell ref="AA46:AB46"/>
    <mergeCell ref="AD46:AE46"/>
    <mergeCell ref="AJ46:AK46"/>
    <mergeCell ref="AM46:AN46"/>
    <mergeCell ref="AP46:AQ46"/>
    <mergeCell ref="AS46:AT46"/>
  </mergeCells>
  <printOptions horizontalCentered="1" verticalCentered="1"/>
  <pageMargins left="0.1968503937007874" right="0.1968503937007874" top="0.984251968503937" bottom="0.984251968503937" header="0.5118110236220472" footer="0.5118110236220472"/>
  <pageSetup fitToWidth="3" horizontalDpi="600" verticalDpi="600" orientation="landscape" paperSize="9" scale="72" r:id="rId4"/>
  <headerFooter alignWithMargins="0">
    <oddHeader>&amp;C&amp;14RIPARTO DEL COSTO DEI SERVIZI - STATO DI AVANZAMENTO DEL BUDGET - APRILE 2009&amp;10
</oddHeader>
  </headerFooter>
  <colBreaks count="4" manualBreakCount="4">
    <brk id="16" max="21" man="1"/>
    <brk id="28" max="21" man="1"/>
    <brk id="40" max="65535" man="1"/>
    <brk id="49" max="21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34.421875" style="0" customWidth="1"/>
    <col min="2" max="2" width="19.7109375" style="0" customWidth="1"/>
    <col min="3" max="3" width="20.140625" style="0" customWidth="1"/>
    <col min="4" max="4" width="18.00390625" style="0" customWidth="1"/>
  </cols>
  <sheetData>
    <row r="1" spans="1:4" ht="12.75" customHeight="1">
      <c r="A1" s="468" t="s">
        <v>87</v>
      </c>
      <c r="B1" s="468"/>
      <c r="C1" s="468"/>
      <c r="D1" s="468"/>
    </row>
    <row r="2" spans="1:4" ht="12.75" customHeight="1">
      <c r="A2" s="468"/>
      <c r="B2" s="468"/>
      <c r="C2" s="468"/>
      <c r="D2" s="468"/>
    </row>
    <row r="3" spans="1:4" s="43" customFormat="1" ht="26.25" customHeight="1">
      <c r="A3" s="468"/>
      <c r="B3" s="468"/>
      <c r="C3" s="468"/>
      <c r="D3" s="468"/>
    </row>
    <row r="4" spans="1:2" s="43" customFormat="1" ht="26.25">
      <c r="A4" s="44"/>
      <c r="B4" s="44"/>
    </row>
    <row r="5" spans="1:3" s="43" customFormat="1" ht="26.25">
      <c r="A5" s="44"/>
      <c r="B5" s="44"/>
      <c r="C5" s="88"/>
    </row>
    <row r="6" spans="1:4" ht="18" customHeight="1">
      <c r="A6" s="462" t="s">
        <v>269</v>
      </c>
      <c r="B6" s="463"/>
      <c r="C6" s="463"/>
      <c r="D6" s="464"/>
    </row>
    <row r="7" spans="1:4" ht="12.75" customHeight="1">
      <c r="A7" s="465"/>
      <c r="B7" s="466"/>
      <c r="C7" s="466"/>
      <c r="D7" s="467"/>
    </row>
    <row r="8" spans="1:4" ht="47.25">
      <c r="A8" s="268"/>
      <c r="B8" s="269" t="s">
        <v>239</v>
      </c>
      <c r="C8" s="269" t="s">
        <v>240</v>
      </c>
      <c r="D8" s="269" t="s">
        <v>208</v>
      </c>
    </row>
    <row r="9" spans="1:4" ht="15.75">
      <c r="A9" s="86" t="s">
        <v>88</v>
      </c>
      <c r="B9" s="241">
        <v>41572.96</v>
      </c>
      <c r="C9" s="399">
        <f>26198/8*12</f>
        <v>39297</v>
      </c>
      <c r="D9" s="469">
        <f>B13-C13</f>
        <v>14146.877895903337</v>
      </c>
    </row>
    <row r="10" spans="1:4" ht="15.75">
      <c r="A10" s="86" t="s">
        <v>137</v>
      </c>
      <c r="B10" s="241">
        <v>25650.207895903335</v>
      </c>
      <c r="C10" s="399">
        <v>27328.65</v>
      </c>
      <c r="D10" s="470"/>
    </row>
    <row r="11" spans="1:4" ht="15.75">
      <c r="A11" s="86" t="s">
        <v>90</v>
      </c>
      <c r="B11" s="241">
        <v>38000</v>
      </c>
      <c r="C11" s="399">
        <f>(12173/8*12)*1.12</f>
        <v>20450.640000000003</v>
      </c>
      <c r="D11" s="470"/>
    </row>
    <row r="12" spans="1:4" ht="15.75">
      <c r="A12" s="86" t="s">
        <v>286</v>
      </c>
      <c r="B12" s="241"/>
      <c r="C12" s="399">
        <v>4000</v>
      </c>
      <c r="D12" s="470"/>
    </row>
    <row r="13" spans="1:4" ht="15.75">
      <c r="A13" s="86" t="s">
        <v>0</v>
      </c>
      <c r="B13" s="399">
        <f>SUM(B9:B12)</f>
        <v>105223.16789590333</v>
      </c>
      <c r="C13" s="399">
        <f>SUM(C9:C12)</f>
        <v>91076.29</v>
      </c>
      <c r="D13" s="471"/>
    </row>
    <row r="14" spans="1:4" ht="15">
      <c r="A14" s="6"/>
      <c r="B14" s="242"/>
      <c r="C14" s="241"/>
      <c r="D14" s="241"/>
    </row>
    <row r="15" spans="1:4" ht="15.75">
      <c r="A15" s="86" t="s">
        <v>196</v>
      </c>
      <c r="B15" s="241">
        <v>606000</v>
      </c>
      <c r="C15" s="243">
        <v>606000</v>
      </c>
      <c r="D15" s="241">
        <f>B15-C15</f>
        <v>0</v>
      </c>
    </row>
    <row r="16" spans="1:4" ht="15.75">
      <c r="A16" s="86" t="s">
        <v>197</v>
      </c>
      <c r="B16" s="241">
        <v>380000</v>
      </c>
      <c r="C16" s="241">
        <v>380000</v>
      </c>
      <c r="D16" s="241">
        <f>B16-C16</f>
        <v>0</v>
      </c>
    </row>
    <row r="17" spans="1:4" ht="15.75">
      <c r="A17" s="86" t="s">
        <v>96</v>
      </c>
      <c r="B17" s="245">
        <v>1091223.1678959033</v>
      </c>
      <c r="C17" s="245">
        <f>SUM(C9:C16)</f>
        <v>1168152.58</v>
      </c>
      <c r="D17" s="245">
        <f>B17-C17</f>
        <v>-76929.41210409673</v>
      </c>
    </row>
    <row r="18" spans="1:2" ht="29.25" customHeight="1">
      <c r="A18" s="89"/>
      <c r="B18" s="89"/>
    </row>
    <row r="19" ht="12.75">
      <c r="A19" s="170"/>
    </row>
    <row r="25" spans="1:5" ht="12.75">
      <c r="A25" s="105"/>
      <c r="B25" s="105"/>
      <c r="C25" s="105"/>
      <c r="D25" s="105"/>
      <c r="E25" s="105"/>
    </row>
  </sheetData>
  <sheetProtection/>
  <mergeCells count="3">
    <mergeCell ref="A6:D7"/>
    <mergeCell ref="A1:D3"/>
    <mergeCell ref="D9:D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9"/>
  <sheetViews>
    <sheetView zoomScale="75" zoomScaleNormal="75" zoomScalePageLayoutView="0" workbookViewId="0" topLeftCell="B10">
      <selection activeCell="F37" sqref="F37"/>
    </sheetView>
  </sheetViews>
  <sheetFormatPr defaultColWidth="9.140625" defaultRowHeight="12.75"/>
  <cols>
    <col min="1" max="1" width="19.57421875" style="0" customWidth="1"/>
    <col min="2" max="2" width="9.28125" style="0" customWidth="1"/>
    <col min="3" max="3" width="12.8515625" style="0" customWidth="1"/>
    <col min="4" max="4" width="18.140625" style="0" customWidth="1"/>
    <col min="5" max="5" width="16.57421875" style="0" bestFit="1" customWidth="1"/>
    <col min="6" max="6" width="12.8515625" style="218" customWidth="1"/>
    <col min="8" max="8" width="10.28125" style="0" customWidth="1"/>
  </cols>
  <sheetData>
    <row r="2" spans="1:6" ht="50.25" customHeight="1">
      <c r="A2" s="477" t="s">
        <v>166</v>
      </c>
      <c r="B2" s="477"/>
      <c r="C2" s="477"/>
      <c r="D2" s="477"/>
      <c r="E2" s="477"/>
      <c r="F2" s="477"/>
    </row>
    <row r="3" spans="1:6" ht="12.75">
      <c r="A3" s="8"/>
      <c r="B3" s="8"/>
      <c r="C3" s="8"/>
      <c r="D3" s="8"/>
      <c r="E3" s="8"/>
      <c r="F3" s="219"/>
    </row>
    <row r="4" ht="13.5" thickBot="1"/>
    <row r="5" spans="1:6" ht="16.5" thickBot="1">
      <c r="A5" s="474" t="s">
        <v>11</v>
      </c>
      <c r="B5" s="475"/>
      <c r="C5" s="475"/>
      <c r="D5" s="476"/>
      <c r="E5" s="478" t="s">
        <v>167</v>
      </c>
      <c r="F5" s="479"/>
    </row>
    <row r="6" spans="1:6" ht="12.75">
      <c r="A6" s="9"/>
      <c r="B6" s="10"/>
      <c r="C6" s="10"/>
      <c r="D6" s="10"/>
      <c r="E6" s="18"/>
      <c r="F6" s="220"/>
    </row>
    <row r="7" spans="1:6" ht="12.75">
      <c r="A7" s="25" t="s">
        <v>110</v>
      </c>
      <c r="B7" s="10"/>
      <c r="C7" s="10"/>
      <c r="D7" s="10"/>
      <c r="E7" s="11"/>
      <c r="F7" s="221"/>
    </row>
    <row r="8" spans="1:6" ht="12.75">
      <c r="A8" s="9"/>
      <c r="B8" s="10"/>
      <c r="C8" s="32" t="s">
        <v>91</v>
      </c>
      <c r="D8" s="33"/>
      <c r="E8" s="34"/>
      <c r="F8" s="222"/>
    </row>
    <row r="9" spans="1:6" ht="12.75">
      <c r="A9" s="9"/>
      <c r="B9" s="10"/>
      <c r="C9" s="30" t="s">
        <v>187</v>
      </c>
      <c r="D9" s="26"/>
      <c r="E9" s="35">
        <v>61732.377884550006</v>
      </c>
      <c r="F9" s="223">
        <v>30866.188942275003</v>
      </c>
    </row>
    <row r="10" spans="1:6" ht="12.75">
      <c r="A10" s="9"/>
      <c r="B10" s="10"/>
      <c r="C10" s="30" t="s">
        <v>188</v>
      </c>
      <c r="D10" s="26"/>
      <c r="E10" s="35">
        <v>986000</v>
      </c>
      <c r="F10" s="223">
        <v>493000</v>
      </c>
    </row>
    <row r="11" spans="1:6" ht="12.75">
      <c r="A11" s="9"/>
      <c r="B11" s="10"/>
      <c r="C11" s="30" t="s">
        <v>111</v>
      </c>
      <c r="D11" s="26"/>
      <c r="E11" s="35">
        <v>50000</v>
      </c>
      <c r="F11" s="223">
        <v>25000</v>
      </c>
    </row>
    <row r="12" spans="1:6" ht="12.75">
      <c r="A12" s="9"/>
      <c r="B12" s="10"/>
      <c r="C12" s="22"/>
      <c r="D12" s="10"/>
      <c r="E12" s="36"/>
      <c r="F12" s="223">
        <v>0</v>
      </c>
    </row>
    <row r="13" spans="1:6" ht="13.5" thickBot="1">
      <c r="A13" s="9"/>
      <c r="B13" s="10"/>
      <c r="C13" s="17" t="s">
        <v>5</v>
      </c>
      <c r="D13" s="16"/>
      <c r="E13" s="19">
        <v>1097732.37788455</v>
      </c>
      <c r="F13" s="223">
        <v>548866.188942275</v>
      </c>
    </row>
    <row r="14" spans="1:6" ht="13.5" thickTop="1">
      <c r="A14" s="9"/>
      <c r="B14" s="10"/>
      <c r="C14" s="10"/>
      <c r="D14" s="10"/>
      <c r="E14" s="11"/>
      <c r="F14" s="223">
        <v>0</v>
      </c>
    </row>
    <row r="15" spans="1:10" ht="12.75">
      <c r="A15" s="25" t="s">
        <v>13</v>
      </c>
      <c r="B15" s="10"/>
      <c r="C15" s="10"/>
      <c r="D15" s="10"/>
      <c r="E15" s="11"/>
      <c r="F15" s="223">
        <v>0</v>
      </c>
      <c r="J15" s="218"/>
    </row>
    <row r="16" spans="1:6" ht="12.75">
      <c r="A16" s="9"/>
      <c r="B16" s="10"/>
      <c r="C16" s="473" t="s">
        <v>93</v>
      </c>
      <c r="D16" s="473"/>
      <c r="E16" s="11"/>
      <c r="F16" s="223">
        <v>0</v>
      </c>
    </row>
    <row r="17" spans="1:6" ht="12.75">
      <c r="A17" s="9"/>
      <c r="B17" s="10"/>
      <c r="C17" s="472" t="s">
        <v>12</v>
      </c>
      <c r="D17" s="472"/>
      <c r="E17" s="42"/>
      <c r="F17" s="223">
        <v>0</v>
      </c>
    </row>
    <row r="18" spans="1:6" ht="13.5" thickBot="1">
      <c r="A18" s="9"/>
      <c r="B18" s="10"/>
      <c r="C18" s="15" t="s">
        <v>5</v>
      </c>
      <c r="D18" s="15"/>
      <c r="E18" s="19"/>
      <c r="F18" s="223">
        <v>0</v>
      </c>
    </row>
    <row r="19" spans="1:6" ht="13.5" thickTop="1">
      <c r="A19" s="9"/>
      <c r="B19" s="10"/>
      <c r="C19" s="10"/>
      <c r="D19" s="10"/>
      <c r="E19" s="11"/>
      <c r="F19" s="223">
        <v>0</v>
      </c>
    </row>
    <row r="20" spans="1:6" ht="12.75">
      <c r="A20" s="25" t="s">
        <v>21</v>
      </c>
      <c r="B20" s="10"/>
      <c r="C20" s="10"/>
      <c r="D20" s="10"/>
      <c r="E20" s="11"/>
      <c r="F20" s="223">
        <v>0</v>
      </c>
    </row>
    <row r="21" spans="1:6" ht="12.75">
      <c r="A21" s="9"/>
      <c r="B21" s="10"/>
      <c r="C21" s="473" t="s">
        <v>12</v>
      </c>
      <c r="D21" s="473"/>
      <c r="E21" s="11"/>
      <c r="F21" s="223">
        <v>0</v>
      </c>
    </row>
    <row r="22" spans="1:6" ht="13.5" thickBot="1">
      <c r="A22" s="9"/>
      <c r="B22" s="10"/>
      <c r="C22" s="15" t="s">
        <v>5</v>
      </c>
      <c r="D22" s="15"/>
      <c r="E22" s="91"/>
      <c r="F22" s="223">
        <v>0</v>
      </c>
    </row>
    <row r="23" spans="1:10" ht="13.5" thickTop="1">
      <c r="A23" s="151"/>
      <c r="B23" s="69"/>
      <c r="C23" s="69"/>
      <c r="D23" s="69"/>
      <c r="E23" s="150"/>
      <c r="F23" s="223">
        <v>0</v>
      </c>
      <c r="G23" s="105"/>
      <c r="H23" s="105"/>
      <c r="I23" s="105"/>
      <c r="J23" s="105"/>
    </row>
    <row r="24" spans="1:6" ht="12.75">
      <c r="A24" s="25" t="s">
        <v>14</v>
      </c>
      <c r="B24" s="10"/>
      <c r="C24" s="10"/>
      <c r="D24" s="10"/>
      <c r="E24" s="11"/>
      <c r="F24" s="223">
        <v>0</v>
      </c>
    </row>
    <row r="25" spans="1:6" ht="12.75">
      <c r="A25" s="25"/>
      <c r="B25" s="10"/>
      <c r="C25" s="22" t="s">
        <v>94</v>
      </c>
      <c r="D25" s="10"/>
      <c r="E25" s="11"/>
      <c r="F25" s="223">
        <v>0</v>
      </c>
    </row>
    <row r="26" spans="1:6" ht="12.75">
      <c r="A26" s="9"/>
      <c r="B26" s="10"/>
      <c r="C26" s="22" t="s">
        <v>15</v>
      </c>
      <c r="D26" s="10"/>
      <c r="E26" s="11"/>
      <c r="F26" s="223">
        <v>0</v>
      </c>
    </row>
    <row r="27" spans="1:6" ht="12.75">
      <c r="A27" s="9"/>
      <c r="B27" s="10"/>
      <c r="C27" s="22" t="s">
        <v>17</v>
      </c>
      <c r="D27" s="10"/>
      <c r="E27" s="11"/>
      <c r="F27" s="223">
        <v>0</v>
      </c>
    </row>
    <row r="28" spans="1:6" ht="13.5" thickBot="1">
      <c r="A28" s="9"/>
      <c r="B28" s="10"/>
      <c r="C28" s="17" t="s">
        <v>5</v>
      </c>
      <c r="D28" s="16"/>
      <c r="E28" s="20"/>
      <c r="F28" s="223">
        <v>0</v>
      </c>
    </row>
    <row r="29" spans="1:6" ht="13.5" thickTop="1">
      <c r="A29" s="9"/>
      <c r="B29" s="10"/>
      <c r="C29" s="10"/>
      <c r="D29" s="10"/>
      <c r="E29" s="11"/>
      <c r="F29" s="223">
        <v>0</v>
      </c>
    </row>
    <row r="30" spans="1:6" ht="13.5" thickBot="1">
      <c r="A30" s="9"/>
      <c r="B30" s="10"/>
      <c r="C30" s="17" t="s">
        <v>16</v>
      </c>
      <c r="D30" s="16"/>
      <c r="E30" s="92">
        <v>1097732.37788455</v>
      </c>
      <c r="F30" s="223">
        <v>548866.188942275</v>
      </c>
    </row>
    <row r="31" spans="1:6" ht="13.5" thickTop="1">
      <c r="A31" s="9"/>
      <c r="B31" s="10"/>
      <c r="C31" s="22"/>
      <c r="D31" s="10"/>
      <c r="E31" s="93"/>
      <c r="F31" s="223">
        <v>0</v>
      </c>
    </row>
    <row r="32" spans="1:6" ht="12.75">
      <c r="A32" s="9"/>
      <c r="B32" s="10"/>
      <c r="C32" s="22"/>
      <c r="D32" s="10"/>
      <c r="E32" s="93"/>
      <c r="F32" s="223">
        <v>0</v>
      </c>
    </row>
    <row r="33" spans="1:6" ht="13.5" thickBot="1">
      <c r="A33" s="9"/>
      <c r="B33" s="10"/>
      <c r="C33" s="10"/>
      <c r="D33" s="10"/>
      <c r="E33" s="11"/>
      <c r="F33" s="223">
        <v>0</v>
      </c>
    </row>
    <row r="34" spans="1:6" ht="16.5" thickBot="1">
      <c r="A34" s="474" t="s">
        <v>18</v>
      </c>
      <c r="B34" s="475"/>
      <c r="C34" s="475"/>
      <c r="D34" s="476"/>
      <c r="E34" s="11"/>
      <c r="F34" s="223">
        <v>0</v>
      </c>
    </row>
    <row r="35" spans="1:6" ht="12.75">
      <c r="A35" s="9"/>
      <c r="B35" s="10"/>
      <c r="C35" s="10"/>
      <c r="D35" s="10"/>
      <c r="E35" s="11"/>
      <c r="F35" s="223">
        <v>0</v>
      </c>
    </row>
    <row r="36" spans="1:6" ht="12.75">
      <c r="A36" s="9"/>
      <c r="B36" s="10"/>
      <c r="C36" s="22" t="s">
        <v>37</v>
      </c>
      <c r="D36" s="10"/>
      <c r="E36" s="94"/>
      <c r="F36" s="223">
        <v>0</v>
      </c>
    </row>
    <row r="37" spans="1:6" ht="12.75">
      <c r="A37" s="9"/>
      <c r="B37" s="10"/>
      <c r="C37" s="22" t="s">
        <v>19</v>
      </c>
      <c r="D37" s="10"/>
      <c r="E37" s="93">
        <v>111732.37788455</v>
      </c>
      <c r="F37" s="223">
        <v>55866.188942275</v>
      </c>
    </row>
    <row r="38" spans="1:6" ht="12.75">
      <c r="A38" s="9"/>
      <c r="B38" s="10"/>
      <c r="C38" s="22" t="s">
        <v>185</v>
      </c>
      <c r="D38" s="10"/>
      <c r="E38" s="93">
        <v>380000</v>
      </c>
      <c r="F38" s="223">
        <v>190000</v>
      </c>
    </row>
    <row r="39" spans="1:6" ht="12.75">
      <c r="A39" s="9"/>
      <c r="B39" s="10"/>
      <c r="C39" s="22" t="s">
        <v>186</v>
      </c>
      <c r="D39" s="10"/>
      <c r="E39" s="93">
        <v>606000</v>
      </c>
      <c r="F39" s="223">
        <v>303000</v>
      </c>
    </row>
    <row r="40" spans="1:6" ht="12.75">
      <c r="A40" s="9"/>
      <c r="B40" s="10"/>
      <c r="C40" s="22" t="s">
        <v>38</v>
      </c>
      <c r="D40" s="10"/>
      <c r="E40" s="93"/>
      <c r="F40" s="223">
        <v>0</v>
      </c>
    </row>
    <row r="41" spans="1:6" ht="12.75">
      <c r="A41" s="9"/>
      <c r="B41" s="10"/>
      <c r="C41" s="22"/>
      <c r="D41" s="10"/>
      <c r="E41" s="93"/>
      <c r="F41" s="223">
        <v>0</v>
      </c>
    </row>
    <row r="42" spans="1:6" ht="13.5" thickBot="1">
      <c r="A42" s="9"/>
      <c r="B42" s="10"/>
      <c r="C42" s="17" t="s">
        <v>6</v>
      </c>
      <c r="D42" s="16"/>
      <c r="E42" s="92">
        <v>1097732.37788455</v>
      </c>
      <c r="F42" s="223">
        <v>548866.188942275</v>
      </c>
    </row>
    <row r="43" spans="1:6" ht="14.25" thickBot="1" thickTop="1">
      <c r="A43" s="9"/>
      <c r="B43" s="10"/>
      <c r="C43" s="10"/>
      <c r="D43" s="10"/>
      <c r="E43" s="11"/>
      <c r="F43" s="221"/>
    </row>
    <row r="44" spans="1:6" ht="16.5" thickBot="1">
      <c r="A44" s="23" t="s">
        <v>20</v>
      </c>
      <c r="B44" s="24"/>
      <c r="C44" s="24"/>
      <c r="D44" s="24"/>
      <c r="E44" s="14">
        <v>0</v>
      </c>
      <c r="F44" s="224"/>
    </row>
    <row r="47" spans="1:6" ht="12.75">
      <c r="A47" s="27"/>
      <c r="B47" s="27"/>
      <c r="C47" s="27"/>
      <c r="D47" s="27"/>
      <c r="E47" s="27"/>
      <c r="F47" s="225"/>
    </row>
    <row r="48" ht="12.75" hidden="1">
      <c r="A48" t="s">
        <v>39</v>
      </c>
    </row>
    <row r="49" ht="12.75" hidden="1">
      <c r="A49" t="s">
        <v>40</v>
      </c>
    </row>
  </sheetData>
  <sheetProtection/>
  <mergeCells count="7">
    <mergeCell ref="C17:D17"/>
    <mergeCell ref="C21:D21"/>
    <mergeCell ref="A34:D34"/>
    <mergeCell ref="A2:F2"/>
    <mergeCell ref="A5:D5"/>
    <mergeCell ref="E5:F5"/>
    <mergeCell ref="C16:D1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="75" zoomScaleNormal="75" zoomScalePageLayoutView="0" workbookViewId="0" topLeftCell="A1">
      <selection activeCell="C16" sqref="C16"/>
    </sheetView>
  </sheetViews>
  <sheetFormatPr defaultColWidth="9.140625" defaultRowHeight="12.75"/>
  <cols>
    <col min="1" max="1" width="36.8515625" style="0" customWidth="1"/>
    <col min="2" max="2" width="18.140625" style="0" customWidth="1"/>
    <col min="3" max="3" width="20.57421875" style="0" customWidth="1"/>
    <col min="4" max="4" width="18.7109375" style="0" customWidth="1"/>
  </cols>
  <sheetData>
    <row r="1" spans="1:4" ht="12.75" customHeight="1">
      <c r="A1" s="468" t="s">
        <v>153</v>
      </c>
      <c r="B1" s="468"/>
      <c r="C1" s="468"/>
      <c r="D1" s="468"/>
    </row>
    <row r="2" spans="1:4" ht="12.75" customHeight="1">
      <c r="A2" s="468"/>
      <c r="B2" s="468"/>
      <c r="C2" s="468"/>
      <c r="D2" s="468"/>
    </row>
    <row r="3" spans="1:4" s="43" customFormat="1" ht="26.25" customHeight="1">
      <c r="A3" s="468"/>
      <c r="B3" s="468"/>
      <c r="C3" s="468"/>
      <c r="D3" s="468"/>
    </row>
    <row r="4" spans="1:2" s="43" customFormat="1" ht="26.25">
      <c r="A4" s="44"/>
      <c r="B4" s="44"/>
    </row>
    <row r="5" spans="1:3" s="43" customFormat="1" ht="26.25">
      <c r="A5" s="44"/>
      <c r="B5" s="44"/>
      <c r="C5" s="88"/>
    </row>
    <row r="6" spans="1:4" ht="18" customHeight="1">
      <c r="A6" s="462" t="s">
        <v>269</v>
      </c>
      <c r="B6" s="463"/>
      <c r="C6" s="463"/>
      <c r="D6" s="464"/>
    </row>
    <row r="7" spans="1:4" ht="12.75" customHeight="1">
      <c r="A7" s="465"/>
      <c r="B7" s="466"/>
      <c r="C7" s="466"/>
      <c r="D7" s="467"/>
    </row>
    <row r="8" spans="1:4" ht="51.75" customHeight="1">
      <c r="A8" s="209"/>
      <c r="B8" s="269" t="s">
        <v>239</v>
      </c>
      <c r="C8" s="269" t="s">
        <v>240</v>
      </c>
      <c r="D8" s="211" t="s">
        <v>208</v>
      </c>
    </row>
    <row r="9" spans="1:4" ht="15.75">
      <c r="A9" s="246" t="s">
        <v>207</v>
      </c>
      <c r="B9" s="249"/>
      <c r="C9" s="249"/>
      <c r="D9" s="249">
        <f>B9-C9</f>
        <v>0</v>
      </c>
    </row>
    <row r="10" spans="1:5" ht="17.25" customHeight="1">
      <c r="A10" s="247" t="s">
        <v>206</v>
      </c>
      <c r="B10" s="249">
        <v>24292.638437333335</v>
      </c>
      <c r="C10" s="249">
        <v>30962.39</v>
      </c>
      <c r="D10" s="249">
        <f aca="true" t="shared" si="0" ref="D10:D16">B10-C10</f>
        <v>-6669.7515626666645</v>
      </c>
      <c r="E10" s="105" t="s">
        <v>275</v>
      </c>
    </row>
    <row r="11" spans="1:4" ht="15.75">
      <c r="A11" s="247" t="s">
        <v>145</v>
      </c>
      <c r="B11" s="249">
        <v>1815000.0000000002</v>
      </c>
      <c r="C11" s="249">
        <v>1738270</v>
      </c>
      <c r="D11" s="249">
        <f t="shared" si="0"/>
        <v>76730.00000000023</v>
      </c>
    </row>
    <row r="12" spans="1:4" ht="18" customHeight="1">
      <c r="A12" s="247" t="s">
        <v>89</v>
      </c>
      <c r="B12" s="249">
        <v>0</v>
      </c>
      <c r="C12" s="249"/>
      <c r="D12" s="249">
        <f t="shared" si="0"/>
        <v>0</v>
      </c>
    </row>
    <row r="13" spans="1:4" ht="15.75">
      <c r="A13" s="247" t="s">
        <v>0</v>
      </c>
      <c r="B13" s="249">
        <v>1839292.6384373335</v>
      </c>
      <c r="C13" s="249"/>
      <c r="D13" s="249">
        <f t="shared" si="0"/>
        <v>1839292.6384373335</v>
      </c>
    </row>
    <row r="14" spans="1:4" ht="15.75">
      <c r="A14" s="252"/>
      <c r="B14" s="250">
        <v>0</v>
      </c>
      <c r="C14" s="249"/>
      <c r="D14" s="249"/>
    </row>
    <row r="15" spans="1:4" ht="15.75">
      <c r="A15" s="247" t="s">
        <v>66</v>
      </c>
      <c r="B15" s="249">
        <v>0</v>
      </c>
      <c r="C15" s="249"/>
      <c r="D15" s="249">
        <f t="shared" si="0"/>
        <v>0</v>
      </c>
    </row>
    <row r="16" spans="1:4" ht="15.75">
      <c r="A16" s="247" t="s">
        <v>96</v>
      </c>
      <c r="B16" s="251">
        <f>B13+B15</f>
        <v>1839292.6384373335</v>
      </c>
      <c r="C16" s="251">
        <f>SUM(C9:C15)</f>
        <v>1769232.39</v>
      </c>
      <c r="D16" s="251">
        <f t="shared" si="0"/>
        <v>70060.24843733362</v>
      </c>
    </row>
    <row r="18" ht="12.75">
      <c r="A18" s="170"/>
    </row>
    <row r="23" spans="1:5" ht="12.75">
      <c r="A23" s="105"/>
      <c r="B23" s="105"/>
      <c r="C23" s="105"/>
      <c r="D23" s="105"/>
      <c r="E23" s="105"/>
    </row>
  </sheetData>
  <sheetProtection/>
  <mergeCells count="2">
    <mergeCell ref="A6:D7"/>
    <mergeCell ref="A1:D3"/>
  </mergeCells>
  <printOptions horizontalCentered="1" verticalCentered="1"/>
  <pageMargins left="0.7874015748031497" right="0.33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6"/>
  <sheetViews>
    <sheetView zoomScale="75" zoomScaleNormal="75" zoomScalePageLayoutView="0" workbookViewId="0" topLeftCell="G9">
      <selection activeCell="E39" sqref="E39"/>
    </sheetView>
  </sheetViews>
  <sheetFormatPr defaultColWidth="9.140625" defaultRowHeight="12.75"/>
  <cols>
    <col min="1" max="1" width="19.57421875" style="0" customWidth="1"/>
    <col min="2" max="2" width="9.28125" style="0" customWidth="1"/>
    <col min="3" max="3" width="12.8515625" style="0" customWidth="1"/>
    <col min="4" max="4" width="18.140625" style="0" customWidth="1"/>
    <col min="5" max="5" width="17.28125" style="0" bestFit="1" customWidth="1"/>
    <col min="6" max="6" width="12.8515625" style="7" customWidth="1"/>
    <col min="8" max="8" width="10.28125" style="0" customWidth="1"/>
  </cols>
  <sheetData>
    <row r="2" spans="1:6" ht="50.25" customHeight="1">
      <c r="A2" s="477" t="s">
        <v>168</v>
      </c>
      <c r="B2" s="477"/>
      <c r="C2" s="477"/>
      <c r="D2" s="477"/>
      <c r="E2" s="477"/>
      <c r="F2" s="477"/>
    </row>
    <row r="3" spans="1:6" ht="12.75">
      <c r="A3" s="8"/>
      <c r="B3" s="8"/>
      <c r="C3" s="8"/>
      <c r="D3" s="8"/>
      <c r="E3" s="8"/>
      <c r="F3" s="226"/>
    </row>
    <row r="4" ht="13.5" thickBot="1"/>
    <row r="5" spans="1:6" ht="16.5" thickBot="1">
      <c r="A5" s="474" t="s">
        <v>11</v>
      </c>
      <c r="B5" s="475"/>
      <c r="C5" s="475"/>
      <c r="D5" s="476"/>
      <c r="E5" s="478" t="s">
        <v>167</v>
      </c>
      <c r="F5" s="479"/>
    </row>
    <row r="6" spans="1:6" ht="12.75">
      <c r="A6" s="9"/>
      <c r="B6" s="10"/>
      <c r="C6" s="10"/>
      <c r="D6" s="10"/>
      <c r="E6" s="18"/>
      <c r="F6" s="227"/>
    </row>
    <row r="7" spans="1:6" ht="12.75">
      <c r="A7" s="25" t="s">
        <v>110</v>
      </c>
      <c r="B7" s="10"/>
      <c r="C7" s="10"/>
      <c r="D7" s="10"/>
      <c r="E7" s="11"/>
      <c r="F7" s="228"/>
    </row>
    <row r="8" spans="1:6" ht="12.75">
      <c r="A8" s="9"/>
      <c r="B8" s="10"/>
      <c r="C8" s="32" t="s">
        <v>91</v>
      </c>
      <c r="D8" s="33"/>
      <c r="E8" s="34">
        <v>0</v>
      </c>
      <c r="F8" s="229">
        <f>E8/$E$29</f>
        <v>0</v>
      </c>
    </row>
    <row r="9" spans="1:6" ht="12.75">
      <c r="A9" s="9"/>
      <c r="B9" s="10"/>
      <c r="C9" s="30" t="s">
        <v>92</v>
      </c>
      <c r="D9" s="26"/>
      <c r="E9" s="35">
        <v>0</v>
      </c>
      <c r="F9" s="229">
        <f>E9/$E$29</f>
        <v>0</v>
      </c>
    </row>
    <row r="10" spans="1:6" ht="12.75">
      <c r="A10" s="9"/>
      <c r="B10" s="10"/>
      <c r="C10" s="30" t="s">
        <v>111</v>
      </c>
      <c r="D10" s="26"/>
      <c r="E10" s="35">
        <v>0</v>
      </c>
      <c r="F10" s="230"/>
    </row>
    <row r="11" spans="1:6" ht="12.75">
      <c r="A11" s="9"/>
      <c r="B11" s="10"/>
      <c r="C11" s="22"/>
      <c r="D11" s="10"/>
      <c r="E11" s="36">
        <v>0</v>
      </c>
      <c r="F11" s="231"/>
    </row>
    <row r="12" spans="1:6" ht="13.5" thickBot="1">
      <c r="A12" s="9"/>
      <c r="B12" s="10"/>
      <c r="C12" s="17" t="s">
        <v>5</v>
      </c>
      <c r="D12" s="16"/>
      <c r="E12" s="19">
        <f>SUM(E8:E11)</f>
        <v>0</v>
      </c>
      <c r="F12" s="232">
        <f>E12/$E$29</f>
        <v>0</v>
      </c>
    </row>
    <row r="13" spans="1:6" ht="13.5" thickTop="1">
      <c r="A13" s="9"/>
      <c r="B13" s="10"/>
      <c r="C13" s="10"/>
      <c r="D13" s="10"/>
      <c r="E13" s="11"/>
      <c r="F13" s="233"/>
    </row>
    <row r="14" spans="1:6" ht="12.75">
      <c r="A14" s="25" t="s">
        <v>13</v>
      </c>
      <c r="B14" s="10"/>
      <c r="C14" s="10"/>
      <c r="D14" s="10"/>
      <c r="E14" s="11"/>
      <c r="F14" s="230"/>
    </row>
    <row r="15" spans="1:6" ht="12.75">
      <c r="A15" s="9"/>
      <c r="B15" s="10"/>
      <c r="C15" s="473" t="s">
        <v>93</v>
      </c>
      <c r="D15" s="473"/>
      <c r="E15" s="11"/>
      <c r="F15" s="230"/>
    </row>
    <row r="16" spans="1:6" ht="12.75">
      <c r="A16" s="9"/>
      <c r="B16" s="10"/>
      <c r="C16" s="472" t="s">
        <v>12</v>
      </c>
      <c r="D16" s="472"/>
      <c r="E16" s="54">
        <f>RIPARTO!Y19</f>
        <v>1769232.39</v>
      </c>
      <c r="F16" s="234">
        <f>E16/3</f>
        <v>589744.13</v>
      </c>
    </row>
    <row r="17" spans="1:6" ht="13.5" thickBot="1">
      <c r="A17" s="9"/>
      <c r="B17" s="10"/>
      <c r="C17" s="15" t="s">
        <v>5</v>
      </c>
      <c r="D17" s="15"/>
      <c r="E17" s="19">
        <f>SUM(E15:E16)</f>
        <v>1769232.39</v>
      </c>
      <c r="F17" s="234">
        <f aca="true" t="shared" si="0" ref="F17:F40">E17/3</f>
        <v>589744.13</v>
      </c>
    </row>
    <row r="18" spans="1:6" ht="13.5" thickTop="1">
      <c r="A18" s="9"/>
      <c r="B18" s="10"/>
      <c r="C18" s="10"/>
      <c r="D18" s="10"/>
      <c r="E18" s="11"/>
      <c r="F18" s="234">
        <f t="shared" si="0"/>
        <v>0</v>
      </c>
    </row>
    <row r="19" spans="1:6" ht="12.75">
      <c r="A19" s="25" t="s">
        <v>21</v>
      </c>
      <c r="B19" s="10"/>
      <c r="C19" s="10"/>
      <c r="D19" s="10"/>
      <c r="E19" s="11"/>
      <c r="F19" s="234">
        <f t="shared" si="0"/>
        <v>0</v>
      </c>
    </row>
    <row r="20" spans="1:6" ht="12.75">
      <c r="A20" s="9"/>
      <c r="B20" s="10"/>
      <c r="C20" s="473" t="s">
        <v>12</v>
      </c>
      <c r="D20" s="473"/>
      <c r="E20" s="11"/>
      <c r="F20" s="234">
        <f t="shared" si="0"/>
        <v>0</v>
      </c>
    </row>
    <row r="21" spans="1:6" ht="13.5" thickBot="1">
      <c r="A21" s="9"/>
      <c r="B21" s="10"/>
      <c r="C21" s="15" t="s">
        <v>5</v>
      </c>
      <c r="D21" s="15"/>
      <c r="E21" s="91"/>
      <c r="F21" s="234">
        <f t="shared" si="0"/>
        <v>0</v>
      </c>
    </row>
    <row r="22" spans="1:6" ht="13.5" thickTop="1">
      <c r="A22" s="9"/>
      <c r="B22" s="10"/>
      <c r="C22" s="10"/>
      <c r="D22" s="10"/>
      <c r="E22" s="11"/>
      <c r="F22" s="234">
        <f t="shared" si="0"/>
        <v>0</v>
      </c>
    </row>
    <row r="23" spans="1:10" ht="12.75">
      <c r="A23" s="25"/>
      <c r="B23" s="69"/>
      <c r="C23" s="69"/>
      <c r="D23" s="69"/>
      <c r="E23" s="150"/>
      <c r="F23" s="234">
        <f t="shared" si="0"/>
        <v>0</v>
      </c>
      <c r="G23" s="105"/>
      <c r="H23" s="105"/>
      <c r="I23" s="105"/>
      <c r="J23" s="105"/>
    </row>
    <row r="24" spans="1:6" ht="12.75">
      <c r="A24" s="25"/>
      <c r="B24" s="10"/>
      <c r="C24" s="22" t="s">
        <v>94</v>
      </c>
      <c r="D24" s="10"/>
      <c r="E24" s="11"/>
      <c r="F24" s="234">
        <f t="shared" si="0"/>
        <v>0</v>
      </c>
    </row>
    <row r="25" spans="1:6" ht="12.75">
      <c r="A25" s="9"/>
      <c r="B25" s="10"/>
      <c r="C25" s="22" t="s">
        <v>15</v>
      </c>
      <c r="D25" s="10"/>
      <c r="E25" s="11"/>
      <c r="F25" s="234">
        <f t="shared" si="0"/>
        <v>0</v>
      </c>
    </row>
    <row r="26" spans="1:6" ht="12.75">
      <c r="A26" s="9"/>
      <c r="B26" s="10"/>
      <c r="C26" s="22" t="s">
        <v>17</v>
      </c>
      <c r="D26" s="10"/>
      <c r="E26" s="11"/>
      <c r="F26" s="234">
        <f t="shared" si="0"/>
        <v>0</v>
      </c>
    </row>
    <row r="27" spans="1:6" ht="13.5" thickBot="1">
      <c r="A27" s="9"/>
      <c r="B27" s="10"/>
      <c r="C27" s="17" t="s">
        <v>5</v>
      </c>
      <c r="D27" s="16"/>
      <c r="E27" s="20"/>
      <c r="F27" s="234">
        <f t="shared" si="0"/>
        <v>0</v>
      </c>
    </row>
    <row r="28" spans="1:6" ht="13.5" thickTop="1">
      <c r="A28" s="9"/>
      <c r="B28" s="10"/>
      <c r="C28" s="10"/>
      <c r="D28" s="10"/>
      <c r="E28" s="11"/>
      <c r="F28" s="234">
        <f t="shared" si="0"/>
        <v>0</v>
      </c>
    </row>
    <row r="29" spans="1:6" ht="13.5" thickBot="1">
      <c r="A29" s="9"/>
      <c r="B29" s="10"/>
      <c r="C29" s="17" t="s">
        <v>16</v>
      </c>
      <c r="D29" s="16"/>
      <c r="E29" s="92">
        <f>E27+E21+E17+E12</f>
        <v>1769232.39</v>
      </c>
      <c r="F29" s="234">
        <f t="shared" si="0"/>
        <v>589744.13</v>
      </c>
    </row>
    <row r="30" spans="1:6" ht="13.5" thickTop="1">
      <c r="A30" s="9"/>
      <c r="B30" s="10"/>
      <c r="C30" s="22"/>
      <c r="D30" s="10"/>
      <c r="E30" s="93"/>
      <c r="F30" s="234">
        <f t="shared" si="0"/>
        <v>0</v>
      </c>
    </row>
    <row r="31" spans="1:6" ht="12.75">
      <c r="A31" s="9"/>
      <c r="B31" s="10"/>
      <c r="C31" s="22"/>
      <c r="D31" s="10"/>
      <c r="E31" s="93"/>
      <c r="F31" s="234">
        <f t="shared" si="0"/>
        <v>0</v>
      </c>
    </row>
    <row r="32" spans="1:6" ht="13.5" thickBot="1">
      <c r="A32" s="9"/>
      <c r="B32" s="10"/>
      <c r="C32" s="10"/>
      <c r="D32" s="10"/>
      <c r="E32" s="11"/>
      <c r="F32" s="234">
        <f t="shared" si="0"/>
        <v>0</v>
      </c>
    </row>
    <row r="33" spans="1:6" ht="16.5" thickBot="1">
      <c r="A33" s="474" t="s">
        <v>18</v>
      </c>
      <c r="B33" s="475"/>
      <c r="C33" s="475"/>
      <c r="D33" s="476"/>
      <c r="E33" s="11"/>
      <c r="F33" s="234">
        <f t="shared" si="0"/>
        <v>0</v>
      </c>
    </row>
    <row r="34" spans="1:6" ht="12.75">
      <c r="A34" s="9"/>
      <c r="B34" s="10"/>
      <c r="C34" s="10"/>
      <c r="D34" s="10"/>
      <c r="E34" s="11"/>
      <c r="F34" s="234">
        <f t="shared" si="0"/>
        <v>0</v>
      </c>
    </row>
    <row r="35" spans="1:6" ht="12.75">
      <c r="A35" s="9"/>
      <c r="B35" s="10"/>
      <c r="C35" s="22" t="s">
        <v>19</v>
      </c>
      <c r="D35" s="10"/>
      <c r="E35" s="94" t="e">
        <f>TRASPORTI!#REF!+TRASPORTI!#REF!</f>
        <v>#REF!</v>
      </c>
      <c r="F35" s="234" t="e">
        <f t="shared" si="0"/>
        <v>#REF!</v>
      </c>
    </row>
    <row r="36" spans="1:6" ht="12.75">
      <c r="A36" s="9"/>
      <c r="B36" s="10"/>
      <c r="C36" s="22" t="s">
        <v>37</v>
      </c>
      <c r="D36" s="10"/>
      <c r="E36" s="93" t="e">
        <f>TRASPORTI!#REF!</f>
        <v>#REF!</v>
      </c>
      <c r="F36" s="234" t="e">
        <f t="shared" si="0"/>
        <v>#REF!</v>
      </c>
    </row>
    <row r="37" spans="1:6" ht="12.75">
      <c r="A37" s="9"/>
      <c r="B37" s="10"/>
      <c r="C37" s="22"/>
      <c r="D37" s="10"/>
      <c r="E37" s="93" t="e">
        <f>TRASPORTI!#REF!</f>
        <v>#REF!</v>
      </c>
      <c r="F37" s="234" t="e">
        <f t="shared" si="0"/>
        <v>#REF!</v>
      </c>
    </row>
    <row r="38" spans="1:6" ht="12.75">
      <c r="A38" s="9"/>
      <c r="B38" s="10"/>
      <c r="C38" s="22"/>
      <c r="D38" s="10"/>
      <c r="E38" s="93"/>
      <c r="F38" s="234">
        <f t="shared" si="0"/>
        <v>0</v>
      </c>
    </row>
    <row r="39" spans="1:6" ht="13.5" thickBot="1">
      <c r="A39" s="9"/>
      <c r="B39" s="10"/>
      <c r="C39" s="17" t="s">
        <v>6</v>
      </c>
      <c r="D39" s="16"/>
      <c r="E39" s="92" t="e">
        <f>SUM(E35:E38)</f>
        <v>#REF!</v>
      </c>
      <c r="F39" s="234" t="e">
        <f t="shared" si="0"/>
        <v>#REF!</v>
      </c>
    </row>
    <row r="40" spans="1:6" ht="14.25" thickBot="1" thickTop="1">
      <c r="A40" s="9"/>
      <c r="B40" s="10"/>
      <c r="C40" s="10"/>
      <c r="D40" s="10"/>
      <c r="E40" s="11"/>
      <c r="F40" s="234">
        <f t="shared" si="0"/>
        <v>0</v>
      </c>
    </row>
    <row r="41" spans="1:6" ht="16.5" thickBot="1">
      <c r="A41" s="23" t="s">
        <v>20</v>
      </c>
      <c r="B41" s="24"/>
      <c r="C41" s="24"/>
      <c r="D41" s="24"/>
      <c r="E41" s="14" t="e">
        <f>E29-E39</f>
        <v>#REF!</v>
      </c>
      <c r="F41" s="235"/>
    </row>
    <row r="44" spans="1:6" ht="12.75">
      <c r="A44" s="27"/>
      <c r="B44" s="27"/>
      <c r="C44" s="27"/>
      <c r="D44" s="27"/>
      <c r="E44" s="27"/>
      <c r="F44" s="236"/>
    </row>
    <row r="45" ht="12.75" hidden="1">
      <c r="A45" t="s">
        <v>39</v>
      </c>
    </row>
    <row r="46" ht="12.75" hidden="1">
      <c r="A46" t="s">
        <v>40</v>
      </c>
    </row>
  </sheetData>
  <sheetProtection/>
  <mergeCells count="7">
    <mergeCell ref="C16:D16"/>
    <mergeCell ref="C20:D20"/>
    <mergeCell ref="A33:D33"/>
    <mergeCell ref="A2:F2"/>
    <mergeCell ref="A5:D5"/>
    <mergeCell ref="E5:F5"/>
    <mergeCell ref="C15:D1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="75" zoomScaleNormal="75" zoomScalePageLayoutView="0" workbookViewId="0" topLeftCell="A1">
      <selection activeCell="C18" sqref="C18"/>
    </sheetView>
  </sheetViews>
  <sheetFormatPr defaultColWidth="9.140625" defaultRowHeight="12.75"/>
  <cols>
    <col min="1" max="1" width="32.7109375" style="0" bestFit="1" customWidth="1"/>
    <col min="2" max="2" width="18.140625" style="0" customWidth="1"/>
    <col min="3" max="3" width="20.57421875" style="0" customWidth="1"/>
    <col min="4" max="4" width="18.7109375" style="0" customWidth="1"/>
  </cols>
  <sheetData>
    <row r="1" spans="1:4" ht="12.75" customHeight="1">
      <c r="A1" s="468" t="s">
        <v>245</v>
      </c>
      <c r="B1" s="468"/>
      <c r="C1" s="468"/>
      <c r="D1" s="468"/>
    </row>
    <row r="2" spans="1:4" ht="12.75" customHeight="1">
      <c r="A2" s="468"/>
      <c r="B2" s="468"/>
      <c r="C2" s="468"/>
      <c r="D2" s="468"/>
    </row>
    <row r="3" spans="1:4" s="43" customFormat="1" ht="26.25" customHeight="1">
      <c r="A3" s="468"/>
      <c r="B3" s="468"/>
      <c r="C3" s="468"/>
      <c r="D3" s="468"/>
    </row>
    <row r="4" spans="1:2" s="43" customFormat="1" ht="26.25">
      <c r="A4" s="44"/>
      <c r="B4" s="44"/>
    </row>
    <row r="5" spans="1:3" s="43" customFormat="1" ht="26.25">
      <c r="A5" s="44"/>
      <c r="B5" s="44"/>
      <c r="C5" s="88"/>
    </row>
    <row r="6" spans="1:4" ht="18" customHeight="1">
      <c r="A6" s="462" t="s">
        <v>238</v>
      </c>
      <c r="B6" s="463"/>
      <c r="C6" s="463"/>
      <c r="D6" s="464"/>
    </row>
    <row r="7" spans="1:4" ht="12.75">
      <c r="A7" s="465"/>
      <c r="B7" s="466"/>
      <c r="C7" s="466"/>
      <c r="D7" s="467"/>
    </row>
    <row r="8" spans="1:4" ht="48" customHeight="1">
      <c r="A8" s="209"/>
      <c r="B8" s="269" t="s">
        <v>239</v>
      </c>
      <c r="C8" s="269" t="s">
        <v>240</v>
      </c>
      <c r="D8" s="211" t="s">
        <v>208</v>
      </c>
    </row>
    <row r="9" spans="1:4" ht="15.75">
      <c r="A9" s="247" t="s">
        <v>1</v>
      </c>
      <c r="B9" s="241">
        <v>23022</v>
      </c>
      <c r="C9" s="241"/>
      <c r="D9" s="241">
        <f aca="true" t="shared" si="0" ref="D9:D15">B9-C9</f>
        <v>23022</v>
      </c>
    </row>
    <row r="10" spans="1:4" ht="16.5" customHeight="1">
      <c r="A10" s="247" t="s">
        <v>2</v>
      </c>
      <c r="B10" s="241">
        <v>98420</v>
      </c>
      <c r="C10" s="241"/>
      <c r="D10" s="241">
        <f t="shared" si="0"/>
        <v>98420</v>
      </c>
    </row>
    <row r="11" spans="1:4" ht="19.5" customHeight="1">
      <c r="A11" s="247" t="s">
        <v>86</v>
      </c>
      <c r="B11" s="241">
        <v>17266</v>
      </c>
      <c r="C11" s="241"/>
      <c r="D11" s="241">
        <f t="shared" si="0"/>
        <v>17266</v>
      </c>
    </row>
    <row r="12" spans="1:4" ht="19.5" customHeight="1">
      <c r="A12" s="247" t="s">
        <v>150</v>
      </c>
      <c r="B12" s="241">
        <v>18519</v>
      </c>
      <c r="C12" s="241"/>
      <c r="D12" s="241">
        <f t="shared" si="0"/>
        <v>18519</v>
      </c>
    </row>
    <row r="13" spans="1:4" ht="18" customHeight="1">
      <c r="A13" s="247" t="s">
        <v>151</v>
      </c>
      <c r="B13" s="241"/>
      <c r="C13" s="241"/>
      <c r="D13" s="241">
        <f t="shared" si="0"/>
        <v>0</v>
      </c>
    </row>
    <row r="14" spans="1:4" ht="18" customHeight="1">
      <c r="A14" s="247" t="s">
        <v>44</v>
      </c>
      <c r="B14" s="241">
        <v>22094.208249333333</v>
      </c>
      <c r="C14" s="241"/>
      <c r="D14" s="241">
        <f t="shared" si="0"/>
        <v>22094.208249333333</v>
      </c>
    </row>
    <row r="15" spans="1:4" ht="15.75">
      <c r="A15" s="247" t="s">
        <v>199</v>
      </c>
      <c r="B15" s="241">
        <v>3000</v>
      </c>
      <c r="C15" s="241"/>
      <c r="D15" s="241">
        <f t="shared" si="0"/>
        <v>3000</v>
      </c>
    </row>
    <row r="16" spans="1:5" ht="15.75">
      <c r="A16" s="247" t="s">
        <v>200</v>
      </c>
      <c r="B16" s="273">
        <f>SUM(B9:B15)</f>
        <v>182321.20824933334</v>
      </c>
      <c r="C16" s="273">
        <f>B16-6200</f>
        <v>176121.20824933334</v>
      </c>
      <c r="D16" s="273">
        <f>B16-C16</f>
        <v>6200</v>
      </c>
      <c r="E16" t="s">
        <v>260</v>
      </c>
    </row>
    <row r="17" spans="1:4" ht="15.75">
      <c r="A17" s="247" t="s">
        <v>209</v>
      </c>
      <c r="B17" s="241">
        <v>90000</v>
      </c>
      <c r="C17" s="241">
        <v>66390</v>
      </c>
      <c r="D17" s="241">
        <f>B17-C17</f>
        <v>23610</v>
      </c>
    </row>
    <row r="18" spans="1:6" ht="15.75">
      <c r="A18" s="247" t="s">
        <v>198</v>
      </c>
      <c r="B18" s="241">
        <v>10000</v>
      </c>
      <c r="C18" s="241">
        <v>10000</v>
      </c>
      <c r="D18" s="241">
        <f>B18-C18</f>
        <v>0</v>
      </c>
      <c r="F18" s="10"/>
    </row>
    <row r="19" spans="1:4" ht="15.75">
      <c r="A19" s="247" t="s">
        <v>66</v>
      </c>
      <c r="B19" s="241">
        <v>15000</v>
      </c>
      <c r="C19" s="241">
        <v>5000</v>
      </c>
      <c r="D19" s="241">
        <f>B19-C19</f>
        <v>10000</v>
      </c>
    </row>
    <row r="20" spans="1:4" ht="15.75">
      <c r="A20" s="247" t="s">
        <v>0</v>
      </c>
      <c r="B20" s="245">
        <f>B16+B17+B18+B19</f>
        <v>297321.2082493333</v>
      </c>
      <c r="C20" s="245">
        <f>C16+C17+C18+C19</f>
        <v>257511.20824933334</v>
      </c>
      <c r="D20" s="245">
        <f>B20-C20</f>
        <v>39809.99999999997</v>
      </c>
    </row>
    <row r="21" spans="1:2" ht="15">
      <c r="A21" s="248"/>
      <c r="B21" s="87"/>
    </row>
    <row r="22" spans="1:2" ht="15">
      <c r="A22" s="171"/>
      <c r="B22" s="89"/>
    </row>
    <row r="23" spans="1:2" ht="15">
      <c r="A23" s="172"/>
      <c r="B23" s="89"/>
    </row>
    <row r="27" spans="1:5" ht="12.75">
      <c r="A27" s="105"/>
      <c r="B27" s="105"/>
      <c r="C27" s="105"/>
      <c r="D27" s="105"/>
      <c r="E27" s="105"/>
    </row>
  </sheetData>
  <sheetProtection/>
  <mergeCells count="2">
    <mergeCell ref="A6:D7"/>
    <mergeCell ref="A1:D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9"/>
  <sheetViews>
    <sheetView zoomScale="75" zoomScaleNormal="75" zoomScalePageLayoutView="0" workbookViewId="0" topLeftCell="A10">
      <selection activeCell="E39" sqref="E39"/>
    </sheetView>
  </sheetViews>
  <sheetFormatPr defaultColWidth="9.140625" defaultRowHeight="12.75"/>
  <cols>
    <col min="1" max="1" width="19.57421875" style="0" customWidth="1"/>
    <col min="2" max="2" width="9.28125" style="0" customWidth="1"/>
    <col min="3" max="3" width="12.8515625" style="0" customWidth="1"/>
    <col min="4" max="4" width="18.140625" style="0" customWidth="1"/>
    <col min="5" max="5" width="16.57421875" style="0" bestFit="1" customWidth="1"/>
    <col min="6" max="6" width="12.8515625" style="7" customWidth="1"/>
    <col min="8" max="8" width="10.28125" style="0" customWidth="1"/>
  </cols>
  <sheetData>
    <row r="2" spans="1:6" ht="50.25" customHeight="1">
      <c r="A2" s="477" t="s">
        <v>169</v>
      </c>
      <c r="B2" s="477"/>
      <c r="C2" s="477"/>
      <c r="D2" s="477"/>
      <c r="E2" s="477"/>
      <c r="F2" s="477"/>
    </row>
    <row r="3" spans="1:6" ht="12.75">
      <c r="A3" s="8"/>
      <c r="B3" s="8"/>
      <c r="C3" s="8"/>
      <c r="D3" s="8"/>
      <c r="E3" s="8"/>
      <c r="F3" s="226"/>
    </row>
    <row r="4" ht="13.5" thickBot="1"/>
    <row r="5" spans="1:6" ht="16.5" thickBot="1">
      <c r="A5" s="474" t="s">
        <v>11</v>
      </c>
      <c r="B5" s="475"/>
      <c r="C5" s="475"/>
      <c r="D5" s="476"/>
      <c r="E5" s="478" t="s">
        <v>167</v>
      </c>
      <c r="F5" s="479"/>
    </row>
    <row r="6" spans="1:6" ht="12.75">
      <c r="A6" s="9"/>
      <c r="B6" s="10"/>
      <c r="C6" s="10"/>
      <c r="D6" s="10"/>
      <c r="E6" s="18"/>
      <c r="F6" s="227"/>
    </row>
    <row r="7" spans="1:6" ht="12.75">
      <c r="A7" s="25" t="s">
        <v>110</v>
      </c>
      <c r="B7" s="10"/>
      <c r="C7" s="10"/>
      <c r="D7" s="10"/>
      <c r="E7" s="11"/>
      <c r="F7" s="228"/>
    </row>
    <row r="8" spans="1:6" ht="12.75">
      <c r="A8" s="9"/>
      <c r="B8" s="10"/>
      <c r="C8" s="32" t="s">
        <v>91</v>
      </c>
      <c r="D8" s="33"/>
      <c r="E8" s="34">
        <v>75000</v>
      </c>
      <c r="F8" s="237">
        <f>E8/3</f>
        <v>25000</v>
      </c>
    </row>
    <row r="9" spans="1:6" ht="12.75">
      <c r="A9" s="9"/>
      <c r="B9" s="10"/>
      <c r="C9" s="30" t="s">
        <v>92</v>
      </c>
      <c r="D9" s="26"/>
      <c r="E9" s="35"/>
      <c r="F9" s="237">
        <f aca="true" t="shared" si="0" ref="F9:F41">E9/3</f>
        <v>0</v>
      </c>
    </row>
    <row r="10" spans="1:6" ht="12.75">
      <c r="A10" s="9"/>
      <c r="B10" s="10"/>
      <c r="C10" s="30" t="s">
        <v>201</v>
      </c>
      <c r="D10" s="26"/>
      <c r="E10" s="35">
        <v>30000</v>
      </c>
      <c r="F10" s="237">
        <f t="shared" si="0"/>
        <v>10000</v>
      </c>
    </row>
    <row r="11" spans="1:6" ht="12.75">
      <c r="A11" s="9"/>
      <c r="B11" s="10"/>
      <c r="C11" s="22"/>
      <c r="D11" s="10"/>
      <c r="E11" s="36"/>
      <c r="F11" s="237">
        <f t="shared" si="0"/>
        <v>0</v>
      </c>
    </row>
    <row r="12" spans="1:6" ht="13.5" thickBot="1">
      <c r="A12" s="9"/>
      <c r="B12" s="10"/>
      <c r="C12" s="17" t="s">
        <v>5</v>
      </c>
      <c r="D12" s="16"/>
      <c r="E12" s="19">
        <f>SUM(E8:E11)</f>
        <v>105000</v>
      </c>
      <c r="F12" s="237">
        <f t="shared" si="0"/>
        <v>35000</v>
      </c>
    </row>
    <row r="13" spans="1:6" ht="13.5" thickTop="1">
      <c r="A13" s="9"/>
      <c r="B13" s="10"/>
      <c r="C13" s="10"/>
      <c r="D13" s="10"/>
      <c r="E13" s="11"/>
      <c r="F13" s="237">
        <f t="shared" si="0"/>
        <v>0</v>
      </c>
    </row>
    <row r="14" spans="1:6" ht="12.75">
      <c r="A14" s="25" t="s">
        <v>13</v>
      </c>
      <c r="B14" s="10"/>
      <c r="C14" s="10"/>
      <c r="D14" s="10"/>
      <c r="E14" s="11"/>
      <c r="F14" s="237">
        <f t="shared" si="0"/>
        <v>0</v>
      </c>
    </row>
    <row r="15" spans="1:6" ht="12.75">
      <c r="A15" s="9"/>
      <c r="B15" s="10"/>
      <c r="C15" s="473" t="s">
        <v>93</v>
      </c>
      <c r="D15" s="473"/>
      <c r="E15" s="11"/>
      <c r="F15" s="237">
        <f t="shared" si="0"/>
        <v>0</v>
      </c>
    </row>
    <row r="16" spans="1:6" ht="12.75">
      <c r="A16" s="9"/>
      <c r="B16" s="10"/>
      <c r="C16" s="472" t="s">
        <v>12</v>
      </c>
      <c r="D16" s="472"/>
      <c r="E16" s="42"/>
      <c r="F16" s="237">
        <f t="shared" si="0"/>
        <v>0</v>
      </c>
    </row>
    <row r="17" spans="1:6" ht="13.5" thickBot="1">
      <c r="A17" s="9"/>
      <c r="B17" s="10"/>
      <c r="C17" s="15" t="s">
        <v>5</v>
      </c>
      <c r="D17" s="15"/>
      <c r="E17" s="19"/>
      <c r="F17" s="237">
        <f t="shared" si="0"/>
        <v>0</v>
      </c>
    </row>
    <row r="18" spans="1:6" ht="13.5" thickTop="1">
      <c r="A18" s="9"/>
      <c r="B18" s="10"/>
      <c r="C18" s="10"/>
      <c r="D18" s="10"/>
      <c r="E18" s="11"/>
      <c r="F18" s="237">
        <f t="shared" si="0"/>
        <v>0</v>
      </c>
    </row>
    <row r="19" spans="1:6" ht="12.75">
      <c r="A19" s="25" t="s">
        <v>21</v>
      </c>
      <c r="B19" s="10"/>
      <c r="C19" s="10"/>
      <c r="D19" s="10"/>
      <c r="E19" s="11"/>
      <c r="F19" s="237">
        <f t="shared" si="0"/>
        <v>0</v>
      </c>
    </row>
    <row r="20" spans="1:6" ht="12.75">
      <c r="A20" s="9"/>
      <c r="B20" s="10"/>
      <c r="C20" s="473" t="s">
        <v>12</v>
      </c>
      <c r="D20" s="473"/>
      <c r="E20" s="36" t="e">
        <f>E40-E12</f>
        <v>#REF!</v>
      </c>
      <c r="F20" s="237" t="e">
        <f t="shared" si="0"/>
        <v>#REF!</v>
      </c>
    </row>
    <row r="21" spans="1:6" ht="13.5" thickBot="1">
      <c r="A21" s="9"/>
      <c r="B21" s="10"/>
      <c r="C21" s="15" t="s">
        <v>5</v>
      </c>
      <c r="D21" s="15"/>
      <c r="E21" s="37" t="e">
        <f>E20</f>
        <v>#REF!</v>
      </c>
      <c r="F21" s="237" t="e">
        <f t="shared" si="0"/>
        <v>#REF!</v>
      </c>
    </row>
    <row r="22" spans="1:6" ht="13.5" thickTop="1">
      <c r="A22" s="9"/>
      <c r="B22" s="10"/>
      <c r="C22" s="10"/>
      <c r="D22" s="10"/>
      <c r="E22" s="11"/>
      <c r="F22" s="237">
        <f t="shared" si="0"/>
        <v>0</v>
      </c>
    </row>
    <row r="23" spans="1:10" ht="12.75">
      <c r="A23" s="25"/>
      <c r="B23" s="69"/>
      <c r="C23" s="69"/>
      <c r="D23" s="69"/>
      <c r="E23" s="150"/>
      <c r="F23" s="237">
        <f t="shared" si="0"/>
        <v>0</v>
      </c>
      <c r="G23" s="105"/>
      <c r="H23" s="105"/>
      <c r="I23" s="105"/>
      <c r="J23" s="105"/>
    </row>
    <row r="24" spans="1:6" ht="12.75">
      <c r="A24" s="25"/>
      <c r="B24" s="10"/>
      <c r="C24" s="22" t="s">
        <v>94</v>
      </c>
      <c r="D24" s="10"/>
      <c r="E24" s="11"/>
      <c r="F24" s="237">
        <f t="shared" si="0"/>
        <v>0</v>
      </c>
    </row>
    <row r="25" spans="1:6" ht="12.75">
      <c r="A25" s="9"/>
      <c r="B25" s="10"/>
      <c r="C25" s="22" t="s">
        <v>15</v>
      </c>
      <c r="D25" s="10"/>
      <c r="E25" s="11"/>
      <c r="F25" s="237">
        <f t="shared" si="0"/>
        <v>0</v>
      </c>
    </row>
    <row r="26" spans="1:6" ht="12.75">
      <c r="A26" s="9"/>
      <c r="B26" s="10"/>
      <c r="C26" s="22" t="s">
        <v>17</v>
      </c>
      <c r="D26" s="10"/>
      <c r="E26" s="11"/>
      <c r="F26" s="237">
        <f t="shared" si="0"/>
        <v>0</v>
      </c>
    </row>
    <row r="27" spans="1:6" ht="13.5" thickBot="1">
      <c r="A27" s="9"/>
      <c r="B27" s="10"/>
      <c r="C27" s="17" t="s">
        <v>5</v>
      </c>
      <c r="D27" s="16"/>
      <c r="E27" s="20"/>
      <c r="F27" s="237">
        <f t="shared" si="0"/>
        <v>0</v>
      </c>
    </row>
    <row r="28" spans="1:6" ht="13.5" thickTop="1">
      <c r="A28" s="9"/>
      <c r="B28" s="10"/>
      <c r="C28" s="10"/>
      <c r="D28" s="10"/>
      <c r="E28" s="11"/>
      <c r="F28" s="237">
        <f t="shared" si="0"/>
        <v>0</v>
      </c>
    </row>
    <row r="29" spans="1:6" ht="13.5" thickBot="1">
      <c r="A29" s="9"/>
      <c r="B29" s="10"/>
      <c r="C29" s="17" t="s">
        <v>16</v>
      </c>
      <c r="D29" s="16"/>
      <c r="E29" s="21" t="e">
        <f>E27+E21+E17+E12</f>
        <v>#REF!</v>
      </c>
      <c r="F29" s="237" t="e">
        <f t="shared" si="0"/>
        <v>#REF!</v>
      </c>
    </row>
    <row r="30" spans="1:6" ht="13.5" thickTop="1">
      <c r="A30" s="9"/>
      <c r="B30" s="10"/>
      <c r="C30" s="22"/>
      <c r="D30" s="10"/>
      <c r="E30" s="12"/>
      <c r="F30" s="237">
        <f t="shared" si="0"/>
        <v>0</v>
      </c>
    </row>
    <row r="31" spans="1:6" ht="12.75">
      <c r="A31" s="9"/>
      <c r="B31" s="10"/>
      <c r="C31" s="22"/>
      <c r="D31" s="10"/>
      <c r="E31" s="12"/>
      <c r="F31" s="237">
        <f t="shared" si="0"/>
        <v>0</v>
      </c>
    </row>
    <row r="32" spans="1:6" ht="13.5" thickBot="1">
      <c r="A32" s="9"/>
      <c r="B32" s="10"/>
      <c r="C32" s="10"/>
      <c r="D32" s="10"/>
      <c r="E32" s="11"/>
      <c r="F32" s="237">
        <f t="shared" si="0"/>
        <v>0</v>
      </c>
    </row>
    <row r="33" spans="1:6" ht="16.5" thickBot="1">
      <c r="A33" s="474" t="s">
        <v>18</v>
      </c>
      <c r="B33" s="475"/>
      <c r="C33" s="475"/>
      <c r="D33" s="476"/>
      <c r="E33" s="11"/>
      <c r="F33" s="237">
        <f t="shared" si="0"/>
        <v>0</v>
      </c>
    </row>
    <row r="34" spans="1:6" ht="12.75">
      <c r="A34" s="9"/>
      <c r="B34" s="10"/>
      <c r="C34" s="10"/>
      <c r="D34" s="10"/>
      <c r="E34" s="11"/>
      <c r="F34" s="237">
        <f t="shared" si="0"/>
        <v>0</v>
      </c>
    </row>
    <row r="35" spans="1:6" ht="12.75">
      <c r="A35" s="9"/>
      <c r="B35" s="10"/>
      <c r="C35" s="22" t="s">
        <v>37</v>
      </c>
      <c r="D35" s="10"/>
      <c r="E35" s="13"/>
      <c r="F35" s="237">
        <f t="shared" si="0"/>
        <v>0</v>
      </c>
    </row>
    <row r="36" spans="1:6" ht="12.75">
      <c r="A36" s="9"/>
      <c r="B36" s="10"/>
      <c r="C36" s="22" t="s">
        <v>19</v>
      </c>
      <c r="D36" s="10"/>
      <c r="E36" s="12" t="e">
        <f>NIL!#REF!</f>
        <v>#REF!</v>
      </c>
      <c r="F36" s="237" t="e">
        <f t="shared" si="0"/>
        <v>#REF!</v>
      </c>
    </row>
    <row r="37" spans="1:6" ht="12.75">
      <c r="A37" s="9"/>
      <c r="B37" s="10"/>
      <c r="C37" s="22" t="s">
        <v>155</v>
      </c>
      <c r="D37" s="10"/>
      <c r="E37" s="199">
        <v>110000</v>
      </c>
      <c r="F37" s="237">
        <f t="shared" si="0"/>
        <v>36666.666666666664</v>
      </c>
    </row>
    <row r="38" spans="1:6" ht="12.75">
      <c r="A38" s="9"/>
      <c r="B38" s="10"/>
      <c r="C38" s="22" t="s">
        <v>38</v>
      </c>
      <c r="D38" s="10"/>
      <c r="E38" s="12"/>
      <c r="F38" s="237">
        <f t="shared" si="0"/>
        <v>0</v>
      </c>
    </row>
    <row r="39" spans="1:6" ht="12.75">
      <c r="A39" s="9"/>
      <c r="B39" s="10"/>
      <c r="C39" s="22"/>
      <c r="D39" s="10"/>
      <c r="E39" s="12"/>
      <c r="F39" s="237">
        <f t="shared" si="0"/>
        <v>0</v>
      </c>
    </row>
    <row r="40" spans="1:6" ht="13.5" thickBot="1">
      <c r="A40" s="9"/>
      <c r="B40" s="10"/>
      <c r="C40" s="17" t="s">
        <v>6</v>
      </c>
      <c r="D40" s="16"/>
      <c r="E40" s="21" t="e">
        <f>SUM(E35:E39)</f>
        <v>#REF!</v>
      </c>
      <c r="F40" s="237" t="e">
        <f t="shared" si="0"/>
        <v>#REF!</v>
      </c>
    </row>
    <row r="41" spans="1:6" ht="14.25" thickBot="1" thickTop="1">
      <c r="A41" s="9"/>
      <c r="B41" s="10"/>
      <c r="C41" s="10"/>
      <c r="D41" s="10"/>
      <c r="E41" s="11"/>
      <c r="F41" s="237">
        <f t="shared" si="0"/>
        <v>0</v>
      </c>
    </row>
    <row r="42" spans="1:6" ht="16.5" thickBot="1">
      <c r="A42" s="23" t="s">
        <v>20</v>
      </c>
      <c r="B42" s="24"/>
      <c r="C42" s="24"/>
      <c r="D42" s="24"/>
      <c r="E42" s="14" t="e">
        <f>E29-E40</f>
        <v>#REF!</v>
      </c>
      <c r="F42" s="235"/>
    </row>
    <row r="45" spans="1:6" ht="12.75">
      <c r="A45" s="27"/>
      <c r="B45" s="27"/>
      <c r="C45" s="27"/>
      <c r="D45" s="27"/>
      <c r="E45" s="27"/>
      <c r="F45" s="236"/>
    </row>
    <row r="46" ht="12.75" hidden="1">
      <c r="A46" t="s">
        <v>39</v>
      </c>
    </row>
    <row r="47" ht="12.75" hidden="1">
      <c r="A47" t="s">
        <v>40</v>
      </c>
    </row>
    <row r="49" ht="12.75">
      <c r="A49" s="43"/>
    </row>
  </sheetData>
  <sheetProtection/>
  <mergeCells count="7">
    <mergeCell ref="C16:D16"/>
    <mergeCell ref="C20:D20"/>
    <mergeCell ref="A33:D33"/>
    <mergeCell ref="A2:F2"/>
    <mergeCell ref="A5:D5"/>
    <mergeCell ref="E5:F5"/>
    <mergeCell ref="C15:D1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="75" zoomScaleNormal="75" zoomScalePageLayoutView="0" workbookViewId="0" topLeftCell="A1">
      <selection activeCell="A8" sqref="A8"/>
    </sheetView>
  </sheetViews>
  <sheetFormatPr defaultColWidth="9.140625" defaultRowHeight="12.75"/>
  <cols>
    <col min="1" max="1" width="32.7109375" style="0" bestFit="1" customWidth="1"/>
    <col min="2" max="2" width="18.140625" style="0" customWidth="1"/>
    <col min="3" max="3" width="20.57421875" style="0" customWidth="1"/>
    <col min="4" max="4" width="18.7109375" style="0" customWidth="1"/>
  </cols>
  <sheetData>
    <row r="1" spans="1:4" ht="12.75" customHeight="1">
      <c r="A1" s="468" t="s">
        <v>251</v>
      </c>
      <c r="B1" s="468"/>
      <c r="C1" s="468"/>
      <c r="D1" s="468"/>
    </row>
    <row r="2" spans="1:4" ht="12.75" customHeight="1">
      <c r="A2" s="468"/>
      <c r="B2" s="468"/>
      <c r="C2" s="468"/>
      <c r="D2" s="468"/>
    </row>
    <row r="3" spans="1:4" s="43" customFormat="1" ht="26.25" customHeight="1">
      <c r="A3" s="468"/>
      <c r="B3" s="468"/>
      <c r="C3" s="468"/>
      <c r="D3" s="468"/>
    </row>
    <row r="4" spans="1:2" s="43" customFormat="1" ht="26.25">
      <c r="A4" s="44"/>
      <c r="B4" s="44"/>
    </row>
    <row r="5" spans="1:3" s="43" customFormat="1" ht="26.25">
      <c r="A5" s="44"/>
      <c r="B5" s="44"/>
      <c r="C5" s="88"/>
    </row>
    <row r="6" spans="1:4" ht="18" customHeight="1">
      <c r="A6" s="462" t="s">
        <v>238</v>
      </c>
      <c r="B6" s="463"/>
      <c r="C6" s="463"/>
      <c r="D6" s="464"/>
    </row>
    <row r="7" spans="1:4" ht="18" customHeight="1">
      <c r="A7" s="465"/>
      <c r="B7" s="466"/>
      <c r="C7" s="466"/>
      <c r="D7" s="467"/>
    </row>
    <row r="8" spans="1:4" ht="47.25">
      <c r="A8" s="302"/>
      <c r="B8" s="269" t="s">
        <v>239</v>
      </c>
      <c r="C8" s="269" t="s">
        <v>240</v>
      </c>
      <c r="D8" s="211" t="s">
        <v>208</v>
      </c>
    </row>
    <row r="9" spans="1:4" ht="15.75">
      <c r="A9" s="212" t="s">
        <v>241</v>
      </c>
      <c r="B9" s="244">
        <v>3250</v>
      </c>
      <c r="C9" s="244">
        <v>3250</v>
      </c>
      <c r="D9" s="244">
        <f>B9-C9</f>
        <v>0</v>
      </c>
    </row>
    <row r="10" spans="1:4" ht="15.75">
      <c r="A10" s="86" t="s">
        <v>242</v>
      </c>
      <c r="B10" s="244">
        <v>34320</v>
      </c>
      <c r="C10" s="244">
        <v>34320</v>
      </c>
      <c r="D10" s="244">
        <f>B10-C10</f>
        <v>0</v>
      </c>
    </row>
    <row r="11" spans="1:4" ht="15.75">
      <c r="A11" s="301" t="s">
        <v>66</v>
      </c>
      <c r="B11" s="244">
        <v>3600</v>
      </c>
      <c r="C11" s="244">
        <v>3600</v>
      </c>
      <c r="D11" s="244">
        <f>B11-C11</f>
        <v>0</v>
      </c>
    </row>
    <row r="12" spans="1:4" ht="15.75">
      <c r="A12" s="86" t="s">
        <v>0</v>
      </c>
      <c r="B12" s="245">
        <f>SUM(B9:B11)</f>
        <v>41170</v>
      </c>
      <c r="C12" s="245">
        <f>SUM(C9:C11)</f>
        <v>41170</v>
      </c>
      <c r="D12" s="245">
        <f>B12-C12</f>
        <v>0</v>
      </c>
    </row>
    <row r="13" spans="1:2" ht="15">
      <c r="A13" s="6"/>
      <c r="B13" s="87"/>
    </row>
    <row r="14" spans="1:2" ht="15">
      <c r="A14" s="89"/>
      <c r="B14" s="89"/>
    </row>
    <row r="15" spans="1:2" ht="15">
      <c r="A15" s="89"/>
      <c r="B15" s="89"/>
    </row>
    <row r="19" ht="12.75">
      <c r="F19" s="10"/>
    </row>
    <row r="24" spans="1:5" ht="12.75">
      <c r="A24" s="105"/>
      <c r="B24" s="105"/>
      <c r="C24" s="105"/>
      <c r="D24" s="105"/>
      <c r="E24" s="105"/>
    </row>
  </sheetData>
  <sheetProtection/>
  <mergeCells count="2">
    <mergeCell ref="A6:D7"/>
    <mergeCell ref="A1:D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Bollate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EMeroni</dc:creator>
  <cp:keywords/>
  <dc:description/>
  <cp:lastModifiedBy>LAlessandri</cp:lastModifiedBy>
  <cp:lastPrinted>2009-06-03T15:37:24Z</cp:lastPrinted>
  <dcterms:created xsi:type="dcterms:W3CDTF">2003-07-22T09:23:43Z</dcterms:created>
  <dcterms:modified xsi:type="dcterms:W3CDTF">2009-10-12T13:19:18Z</dcterms:modified>
  <cp:category/>
  <cp:version/>
  <cp:contentType/>
  <cp:contentStatus/>
</cp:coreProperties>
</file>